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215" windowWidth="18195" windowHeight="10680" tabRatio="598" firstSheet="19" activeTab="22"/>
  </bookViews>
  <sheets>
    <sheet name="Tinh-NhanCong (theo ngay)" sheetId="1" r:id="rId1"/>
    <sheet name="Lao_dong_KT" sheetId="2" r:id="rId2"/>
    <sheet name="Dung cu (2.1.1)" sheetId="3" r:id="rId3"/>
    <sheet name="Dung cu (2.1.2)" sheetId="29" r:id="rId4"/>
    <sheet name="Dung cu (2.1.3)" sheetId="12" r:id="rId5"/>
    <sheet name="Dung cu (2.1.4)" sheetId="13" r:id="rId6"/>
    <sheet name="Dung cu (2.1.5)" sheetId="14" r:id="rId7"/>
    <sheet name="Dung cu (2.1.6)" sheetId="15" r:id="rId8"/>
    <sheet name="Dung cu (2.1.7)" sheetId="31" r:id="rId9"/>
    <sheet name="Thiet bi (2.2.1)" sheetId="6" r:id="rId10"/>
    <sheet name="Thiet bi (2.2.2)" sheetId="30" r:id="rId11"/>
    <sheet name="Thiet bi (2.2.3)" sheetId="17" r:id="rId12"/>
    <sheet name="Thiet bi (2.2.4)" sheetId="18" r:id="rId13"/>
    <sheet name="Thiet bi (2.2.5)" sheetId="19" r:id="rId14"/>
    <sheet name="Thiet bi (2.2.6)" sheetId="20" r:id="rId15"/>
    <sheet name="Thiet bi (2.2.7)" sheetId="32" r:id="rId16"/>
    <sheet name="Vat lieu (2.3.1)" sheetId="7" r:id="rId17"/>
    <sheet name="Vat lieu (2.3.2)" sheetId="33" r:id="rId18"/>
    <sheet name="Vat lieu (2.3.3)" sheetId="23" r:id="rId19"/>
    <sheet name="Vat lieu (2.3.4)" sheetId="24" r:id="rId20"/>
    <sheet name="Vat lieu (2.3.5)" sheetId="25" r:id="rId21"/>
    <sheet name="Vat lieu (2.3.6)" sheetId="26" r:id="rId22"/>
    <sheet name="Vat lieu (2.3.7)" sheetId="27" r:id="rId23"/>
    <sheet name="Tong_hop" sheetId="4" r:id="rId24"/>
    <sheet name="Don_gia_lap_BCCĐMT" sheetId="9" r:id="rId25"/>
    <sheet name="Sheet1" sheetId="28" r:id="rId26"/>
  </sheets>
  <definedNames>
    <definedName name="_xlnm.Print_Titles" localSheetId="1">Lao_dong_KT!$4:$5</definedName>
  </definedNames>
  <calcPr calcId="145621" fullCalcOnLoad="1"/>
</workbook>
</file>

<file path=xl/calcChain.xml><?xml version="1.0" encoding="utf-8"?>
<calcChain xmlns="http://schemas.openxmlformats.org/spreadsheetml/2006/main">
  <c r="N50" i="9" l="1"/>
  <c r="M50" i="9"/>
  <c r="G78" i="9"/>
  <c r="F78" i="9"/>
  <c r="E78" i="9"/>
  <c r="D78" i="9"/>
  <c r="F27" i="4"/>
  <c r="F27" i="9"/>
  <c r="F16" i="4"/>
  <c r="F16" i="9"/>
  <c r="F17" i="4"/>
  <c r="F17" i="9"/>
  <c r="F18" i="4"/>
  <c r="F18" i="9"/>
  <c r="F19" i="4"/>
  <c r="F19" i="9"/>
  <c r="F20" i="4"/>
  <c r="F20" i="9"/>
  <c r="F21" i="4"/>
  <c r="F21" i="9"/>
  <c r="F22" i="4"/>
  <c r="F22" i="9"/>
  <c r="F24" i="4"/>
  <c r="F24" i="9"/>
  <c r="F25" i="4"/>
  <c r="F25" i="9"/>
  <c r="F26" i="4"/>
  <c r="F26" i="9"/>
  <c r="E22" i="4"/>
  <c r="E22" i="9"/>
  <c r="E23" i="4"/>
  <c r="E23" i="9"/>
  <c r="E24" i="4"/>
  <c r="E24" i="9"/>
  <c r="E25" i="4"/>
  <c r="E25" i="9"/>
  <c r="E26" i="4"/>
  <c r="E26" i="9"/>
  <c r="E27" i="4"/>
  <c r="E27" i="9"/>
  <c r="M11" i="2"/>
  <c r="M12" i="2"/>
  <c r="M13" i="2"/>
  <c r="M14" i="2"/>
  <c r="M15" i="2"/>
  <c r="H11" i="2"/>
  <c r="N11" i="2"/>
  <c r="C11" i="4"/>
  <c r="H12" i="2"/>
  <c r="N12" i="2"/>
  <c r="C12" i="4"/>
  <c r="C12" i="9"/>
  <c r="H13" i="2"/>
  <c r="N13" i="2"/>
  <c r="C13" i="4"/>
  <c r="H14" i="2"/>
  <c r="N14" i="2"/>
  <c r="C14" i="4"/>
  <c r="H15" i="2"/>
  <c r="N15" i="2"/>
  <c r="C15" i="4"/>
  <c r="M53" i="2"/>
  <c r="M54" i="2"/>
  <c r="M55" i="2"/>
  <c r="M56" i="2"/>
  <c r="M57" i="2"/>
  <c r="H53" i="2"/>
  <c r="N53" i="2"/>
  <c r="C53" i="4"/>
  <c r="H54" i="2"/>
  <c r="N54" i="2"/>
  <c r="C54" i="4"/>
  <c r="H55" i="2"/>
  <c r="N55" i="2"/>
  <c r="C55" i="4"/>
  <c r="H56" i="2"/>
  <c r="N56" i="2"/>
  <c r="C56" i="4"/>
  <c r="C76" i="9"/>
  <c r="H57" i="2"/>
  <c r="N57" i="2"/>
  <c r="C57" i="4"/>
  <c r="F16" i="33"/>
  <c r="F15" i="33"/>
  <c r="F14" i="33"/>
  <c r="F13" i="33"/>
  <c r="F12" i="33"/>
  <c r="F11" i="33"/>
  <c r="F10" i="33"/>
  <c r="F9" i="33"/>
  <c r="F8" i="33"/>
  <c r="J11" i="32"/>
  <c r="J12" i="32"/>
  <c r="E22" i="32"/>
  <c r="F65" i="4"/>
  <c r="F85" i="9"/>
  <c r="H10" i="32"/>
  <c r="I10" i="32"/>
  <c r="H9" i="32"/>
  <c r="I9" i="32"/>
  <c r="H8" i="32"/>
  <c r="I8" i="32"/>
  <c r="I12" i="32"/>
  <c r="G13" i="31"/>
  <c r="I13" i="31"/>
  <c r="I17" i="31"/>
  <c r="H17" i="31"/>
  <c r="G16" i="31"/>
  <c r="I16" i="31"/>
  <c r="H16" i="31"/>
  <c r="G15" i="31"/>
  <c r="I15" i="31"/>
  <c r="H15" i="31"/>
  <c r="G14" i="31"/>
  <c r="I14" i="31"/>
  <c r="H14" i="31"/>
  <c r="G12" i="31"/>
  <c r="I12" i="31"/>
  <c r="H12" i="31"/>
  <c r="G11" i="31"/>
  <c r="I11" i="31"/>
  <c r="H11" i="31"/>
  <c r="G10" i="31"/>
  <c r="I10" i="31"/>
  <c r="H10" i="31"/>
  <c r="G9" i="31"/>
  <c r="I9" i="31"/>
  <c r="G8" i="31"/>
  <c r="I8" i="31"/>
  <c r="G26" i="18"/>
  <c r="G27" i="18"/>
  <c r="G28" i="18"/>
  <c r="G29" i="18"/>
  <c r="G30" i="18"/>
  <c r="G31" i="18"/>
  <c r="H31" i="18"/>
  <c r="G32" i="18"/>
  <c r="H32" i="18"/>
  <c r="G33" i="18"/>
  <c r="H33" i="18"/>
  <c r="G34" i="18"/>
  <c r="H34" i="18"/>
  <c r="G35" i="18"/>
  <c r="H35" i="18"/>
  <c r="G36" i="18"/>
  <c r="H36" i="18"/>
  <c r="G37" i="18"/>
  <c r="H37" i="18"/>
  <c r="H13" i="19"/>
  <c r="I13" i="19"/>
  <c r="J12" i="30"/>
  <c r="J13" i="30"/>
  <c r="G21" i="30"/>
  <c r="F8" i="4"/>
  <c r="F8" i="9"/>
  <c r="H11" i="30"/>
  <c r="I11" i="30"/>
  <c r="H10" i="30"/>
  <c r="I10" i="30"/>
  <c r="H9" i="30"/>
  <c r="I9" i="30"/>
  <c r="H8" i="30"/>
  <c r="I8" i="30"/>
  <c r="I13" i="30"/>
  <c r="F21" i="30"/>
  <c r="E8" i="4"/>
  <c r="I17" i="29"/>
  <c r="H17" i="29"/>
  <c r="G16" i="29"/>
  <c r="I16" i="29"/>
  <c r="H16" i="29"/>
  <c r="G15" i="29"/>
  <c r="I15" i="29"/>
  <c r="H15" i="29"/>
  <c r="G14" i="29"/>
  <c r="I14" i="29"/>
  <c r="H14" i="29"/>
  <c r="G13" i="29"/>
  <c r="I13" i="29"/>
  <c r="H13" i="29"/>
  <c r="G12" i="29"/>
  <c r="I12" i="29"/>
  <c r="H12" i="29"/>
  <c r="G11" i="29"/>
  <c r="I11" i="29"/>
  <c r="G10" i="29"/>
  <c r="I10" i="29"/>
  <c r="H10" i="29"/>
  <c r="G9" i="29"/>
  <c r="I9" i="29"/>
  <c r="H9" i="29"/>
  <c r="G8" i="29"/>
  <c r="I8" i="29"/>
  <c r="H8" i="29"/>
  <c r="M34" i="2"/>
  <c r="M35" i="2"/>
  <c r="M36" i="2"/>
  <c r="M37" i="2"/>
  <c r="M38" i="2"/>
  <c r="M39" i="2"/>
  <c r="M40" i="2"/>
  <c r="M41" i="2"/>
  <c r="M42" i="2"/>
  <c r="M43" i="2"/>
  <c r="M44" i="2"/>
  <c r="M45" i="2"/>
  <c r="M46" i="2"/>
  <c r="M47" i="2"/>
  <c r="M48" i="2"/>
  <c r="M49" i="2"/>
  <c r="M50" i="2"/>
  <c r="M51" i="2"/>
  <c r="M52" i="2"/>
  <c r="H47" i="2"/>
  <c r="N47" i="2"/>
  <c r="C47" i="4"/>
  <c r="H48" i="2"/>
  <c r="N48" i="2"/>
  <c r="C48" i="4"/>
  <c r="H49" i="2"/>
  <c r="N49" i="2"/>
  <c r="C49" i="4"/>
  <c r="H50" i="2"/>
  <c r="N50" i="2"/>
  <c r="C50" i="4"/>
  <c r="H51" i="2"/>
  <c r="N51" i="2"/>
  <c r="C51" i="4"/>
  <c r="H39" i="2"/>
  <c r="N39" i="2"/>
  <c r="C39" i="4"/>
  <c r="H40" i="2"/>
  <c r="N40" i="2"/>
  <c r="C40" i="4"/>
  <c r="H41" i="2"/>
  <c r="N41" i="2"/>
  <c r="C41" i="4"/>
  <c r="C49" i="9"/>
  <c r="H42" i="2"/>
  <c r="N42" i="2"/>
  <c r="C42" i="4"/>
  <c r="H43" i="2"/>
  <c r="N43" i="2"/>
  <c r="C43" i="4"/>
  <c r="H44" i="2"/>
  <c r="N44" i="2"/>
  <c r="C44" i="4"/>
  <c r="H45" i="2"/>
  <c r="N45" i="2"/>
  <c r="C45" i="4"/>
  <c r="C62" i="9"/>
  <c r="H34" i="2"/>
  <c r="N34" i="2"/>
  <c r="C34" i="4"/>
  <c r="H35" i="2"/>
  <c r="N35" i="2"/>
  <c r="C35" i="4"/>
  <c r="H36" i="2"/>
  <c r="N36" i="2"/>
  <c r="C36" i="4"/>
  <c r="H37" i="2"/>
  <c r="N37" i="2"/>
  <c r="C37" i="4"/>
  <c r="C45" i="9"/>
  <c r="H58" i="2"/>
  <c r="N58" i="2"/>
  <c r="C58" i="4"/>
  <c r="H59" i="2"/>
  <c r="H60" i="2"/>
  <c r="N60" i="2"/>
  <c r="C60" i="4"/>
  <c r="H61" i="2"/>
  <c r="M7" i="2"/>
  <c r="H7" i="2"/>
  <c r="F8" i="7"/>
  <c r="F44" i="12"/>
  <c r="F43" i="12"/>
  <c r="F42" i="12"/>
  <c r="F41" i="12"/>
  <c r="F40" i="12"/>
  <c r="F39" i="12"/>
  <c r="H40" i="17"/>
  <c r="H39" i="17"/>
  <c r="H38" i="17"/>
  <c r="H37" i="17"/>
  <c r="G40" i="17"/>
  <c r="G39" i="17"/>
  <c r="G38" i="17"/>
  <c r="G37" i="17"/>
  <c r="H36" i="17"/>
  <c r="G36" i="17"/>
  <c r="H35" i="17"/>
  <c r="G35" i="17"/>
  <c r="E41" i="17"/>
  <c r="H64" i="2"/>
  <c r="H65" i="2"/>
  <c r="H66" i="2"/>
  <c r="H67" i="2"/>
  <c r="H63" i="2"/>
  <c r="H62" i="2"/>
  <c r="H52" i="2"/>
  <c r="N52" i="2"/>
  <c r="C52" i="4"/>
  <c r="H29" i="2"/>
  <c r="H30" i="2"/>
  <c r="H31" i="2"/>
  <c r="H32" i="2"/>
  <c r="H33" i="2"/>
  <c r="H38" i="2"/>
  <c r="N38" i="2"/>
  <c r="C38" i="4"/>
  <c r="H46" i="2"/>
  <c r="N46" i="2"/>
  <c r="C46" i="4"/>
  <c r="H28" i="2"/>
  <c r="H10" i="2"/>
  <c r="O10" i="2"/>
  <c r="H16" i="2"/>
  <c r="O16" i="2"/>
  <c r="H17" i="2"/>
  <c r="H18" i="2"/>
  <c r="O18" i="2"/>
  <c r="H19" i="2"/>
  <c r="O19" i="2"/>
  <c r="H20" i="2"/>
  <c r="O20" i="2"/>
  <c r="H21" i="2"/>
  <c r="O21" i="2"/>
  <c r="H22" i="2"/>
  <c r="O22" i="2"/>
  <c r="H23" i="2"/>
  <c r="O23" i="2"/>
  <c r="H24" i="2"/>
  <c r="O24" i="2"/>
  <c r="H25" i="2"/>
  <c r="H26" i="2"/>
  <c r="O26" i="2"/>
  <c r="H27" i="2"/>
  <c r="O27" i="2"/>
  <c r="H9" i="2"/>
  <c r="O9" i="2"/>
  <c r="H8" i="2"/>
  <c r="H12" i="17"/>
  <c r="I12" i="17"/>
  <c r="J14" i="19"/>
  <c r="J13" i="18"/>
  <c r="J14" i="18"/>
  <c r="F21" i="18"/>
  <c r="F28" i="4"/>
  <c r="F28" i="9"/>
  <c r="J12" i="6"/>
  <c r="J13" i="6"/>
  <c r="G21" i="6"/>
  <c r="F7" i="4"/>
  <c r="F7" i="9"/>
  <c r="M10" i="2"/>
  <c r="M16" i="2"/>
  <c r="N16" i="2"/>
  <c r="M17" i="2"/>
  <c r="M18" i="2"/>
  <c r="M19" i="2"/>
  <c r="M20" i="2"/>
  <c r="N20" i="2"/>
  <c r="C20" i="4"/>
  <c r="M21" i="2"/>
  <c r="M22" i="2"/>
  <c r="N22" i="2"/>
  <c r="C22" i="4"/>
  <c r="M23" i="2"/>
  <c r="M24" i="2"/>
  <c r="N24" i="2"/>
  <c r="C24" i="4"/>
  <c r="C24" i="9"/>
  <c r="M25" i="2"/>
  <c r="M26" i="2"/>
  <c r="N26" i="2"/>
  <c r="C26" i="4"/>
  <c r="M27" i="2"/>
  <c r="M28" i="2"/>
  <c r="N28" i="2"/>
  <c r="C28" i="4"/>
  <c r="M29" i="2"/>
  <c r="M30" i="2"/>
  <c r="N30" i="2"/>
  <c r="M31" i="2"/>
  <c r="M32" i="2"/>
  <c r="N32" i="2"/>
  <c r="C32" i="4"/>
  <c r="C40" i="9"/>
  <c r="M33" i="2"/>
  <c r="M59" i="2"/>
  <c r="N59" i="2"/>
  <c r="C59" i="4"/>
  <c r="M60" i="2"/>
  <c r="M61" i="2"/>
  <c r="N61" i="2"/>
  <c r="C61" i="4"/>
  <c r="C81" i="9"/>
  <c r="M62" i="2"/>
  <c r="M63" i="2"/>
  <c r="N63" i="2"/>
  <c r="C63" i="4"/>
  <c r="M64" i="2"/>
  <c r="M65" i="2"/>
  <c r="M66" i="2"/>
  <c r="N66" i="2"/>
  <c r="C66" i="4"/>
  <c r="M67" i="2"/>
  <c r="M9" i="2"/>
  <c r="M8" i="2"/>
  <c r="D10" i="1"/>
  <c r="G15" i="15"/>
  <c r="G9" i="15"/>
  <c r="G10" i="15"/>
  <c r="G11" i="15"/>
  <c r="G12" i="15"/>
  <c r="I12" i="15"/>
  <c r="H12" i="15"/>
  <c r="G13" i="15"/>
  <c r="G14" i="15"/>
  <c r="I14" i="15"/>
  <c r="H14" i="15"/>
  <c r="G8" i="15"/>
  <c r="G9" i="14"/>
  <c r="I9" i="14"/>
  <c r="H9" i="14"/>
  <c r="G10" i="14"/>
  <c r="G11" i="14"/>
  <c r="I11" i="14"/>
  <c r="H11" i="14"/>
  <c r="G12" i="14"/>
  <c r="I12" i="14"/>
  <c r="H12" i="14"/>
  <c r="G13" i="14"/>
  <c r="I13" i="14"/>
  <c r="I18" i="14"/>
  <c r="I19" i="14"/>
  <c r="G14" i="14"/>
  <c r="G15" i="14"/>
  <c r="I15" i="14"/>
  <c r="G16" i="14"/>
  <c r="G8" i="14"/>
  <c r="I8" i="14"/>
  <c r="H8" i="14"/>
  <c r="G9" i="13"/>
  <c r="I9" i="13"/>
  <c r="G10" i="13"/>
  <c r="I10" i="13"/>
  <c r="G11" i="13"/>
  <c r="I11" i="13"/>
  <c r="H11" i="13"/>
  <c r="G12" i="13"/>
  <c r="I12" i="13"/>
  <c r="H12" i="13"/>
  <c r="G13" i="13"/>
  <c r="I13" i="13"/>
  <c r="G14" i="13"/>
  <c r="I14" i="13"/>
  <c r="G15" i="13"/>
  <c r="I15" i="13"/>
  <c r="G16" i="13"/>
  <c r="I16" i="13"/>
  <c r="H16" i="13"/>
  <c r="G17" i="13"/>
  <c r="I17" i="13"/>
  <c r="H17" i="13"/>
  <c r="G8" i="13"/>
  <c r="I8" i="13"/>
  <c r="H8" i="13"/>
  <c r="G9" i="3"/>
  <c r="I9" i="3"/>
  <c r="H9" i="3"/>
  <c r="G10" i="3"/>
  <c r="I10" i="3"/>
  <c r="H10" i="3"/>
  <c r="G11" i="3"/>
  <c r="I11" i="3"/>
  <c r="G12" i="3"/>
  <c r="I12" i="3"/>
  <c r="H12" i="3"/>
  <c r="G13" i="3"/>
  <c r="G14" i="3"/>
  <c r="I14" i="3"/>
  <c r="H14" i="3"/>
  <c r="G15" i="3"/>
  <c r="G16" i="3"/>
  <c r="I16" i="3"/>
  <c r="H16" i="3"/>
  <c r="G8" i="3"/>
  <c r="I8" i="3"/>
  <c r="H8" i="3"/>
  <c r="G9" i="12"/>
  <c r="I9" i="12"/>
  <c r="G10" i="12"/>
  <c r="I10" i="12"/>
  <c r="H10" i="12"/>
  <c r="G15" i="12"/>
  <c r="G11" i="12"/>
  <c r="I11" i="12"/>
  <c r="H11" i="12"/>
  <c r="G12" i="12"/>
  <c r="I12" i="12"/>
  <c r="H12" i="12"/>
  <c r="G13" i="12"/>
  <c r="I13" i="12"/>
  <c r="G14" i="12"/>
  <c r="I14" i="12"/>
  <c r="G16" i="12"/>
  <c r="I16" i="12"/>
  <c r="H16" i="12"/>
  <c r="G17" i="12"/>
  <c r="G8" i="12"/>
  <c r="I8" i="12"/>
  <c r="F14" i="27"/>
  <c r="F13" i="27"/>
  <c r="F12" i="27"/>
  <c r="F11" i="27"/>
  <c r="F10" i="27"/>
  <c r="F9" i="27"/>
  <c r="F8" i="27"/>
  <c r="F15" i="27"/>
  <c r="F8" i="26"/>
  <c r="F13" i="26"/>
  <c r="F12" i="26"/>
  <c r="F11" i="26"/>
  <c r="F10" i="26"/>
  <c r="F9" i="26"/>
  <c r="F14" i="26"/>
  <c r="F9" i="25"/>
  <c r="F8" i="25"/>
  <c r="F18" i="25"/>
  <c r="F17" i="25"/>
  <c r="F16" i="25"/>
  <c r="F15" i="25"/>
  <c r="F14" i="25"/>
  <c r="F13" i="25"/>
  <c r="F12" i="25"/>
  <c r="F10" i="25"/>
  <c r="F11" i="25"/>
  <c r="F18" i="24"/>
  <c r="F17" i="24"/>
  <c r="F16" i="24"/>
  <c r="F15" i="24"/>
  <c r="F14" i="24"/>
  <c r="F13" i="24"/>
  <c r="F12" i="24"/>
  <c r="F11" i="24"/>
  <c r="F9" i="24"/>
  <c r="F8" i="24"/>
  <c r="F10" i="24"/>
  <c r="F8" i="23"/>
  <c r="F9" i="23"/>
  <c r="F15" i="23"/>
  <c r="F19" i="23"/>
  <c r="F18" i="23"/>
  <c r="F17" i="23"/>
  <c r="F16" i="23"/>
  <c r="F14" i="23"/>
  <c r="F13" i="23"/>
  <c r="F12" i="23"/>
  <c r="F11" i="23"/>
  <c r="F10" i="23"/>
  <c r="F14" i="7"/>
  <c r="J11" i="20"/>
  <c r="J12" i="20"/>
  <c r="E22" i="20"/>
  <c r="F62" i="4"/>
  <c r="F82" i="9"/>
  <c r="H10" i="20"/>
  <c r="I10" i="20"/>
  <c r="H9" i="20"/>
  <c r="I9" i="20"/>
  <c r="I12" i="20"/>
  <c r="D22" i="20"/>
  <c r="E62" i="4"/>
  <c r="E82" i="9"/>
  <c r="H8" i="20"/>
  <c r="I8" i="20"/>
  <c r="H12" i="19"/>
  <c r="I12" i="19"/>
  <c r="H11" i="19"/>
  <c r="I11" i="19"/>
  <c r="H10" i="19"/>
  <c r="I10" i="19"/>
  <c r="H9" i="19"/>
  <c r="I9" i="19"/>
  <c r="H8" i="19"/>
  <c r="I8" i="19"/>
  <c r="H12" i="18"/>
  <c r="I12" i="18"/>
  <c r="H11" i="18"/>
  <c r="I11" i="18"/>
  <c r="H10" i="18"/>
  <c r="I10" i="18"/>
  <c r="H9" i="18"/>
  <c r="I9" i="18"/>
  <c r="H8" i="18"/>
  <c r="I8" i="18"/>
  <c r="I14" i="18"/>
  <c r="H9" i="17"/>
  <c r="I9" i="17"/>
  <c r="H10" i="17"/>
  <c r="I10" i="17"/>
  <c r="H11" i="17"/>
  <c r="I11" i="17"/>
  <c r="H8" i="17"/>
  <c r="I8" i="17"/>
  <c r="H8" i="6"/>
  <c r="I8" i="6"/>
  <c r="H9" i="6"/>
  <c r="I9" i="6"/>
  <c r="H10" i="6"/>
  <c r="I10" i="6"/>
  <c r="H11" i="6"/>
  <c r="I11" i="6"/>
  <c r="J13" i="17"/>
  <c r="J14" i="17"/>
  <c r="I16" i="15"/>
  <c r="H16" i="15"/>
  <c r="I15" i="15"/>
  <c r="H15" i="15"/>
  <c r="I13" i="15"/>
  <c r="H13" i="15"/>
  <c r="I11" i="15"/>
  <c r="H11" i="15"/>
  <c r="I10" i="15"/>
  <c r="H10" i="15"/>
  <c r="I9" i="15"/>
  <c r="H9" i="15"/>
  <c r="I8" i="15"/>
  <c r="H8" i="15"/>
  <c r="I17" i="14"/>
  <c r="H17" i="14"/>
  <c r="I16" i="14"/>
  <c r="H16" i="14"/>
  <c r="H15" i="14"/>
  <c r="I14" i="14"/>
  <c r="H14" i="14"/>
  <c r="I10" i="14"/>
  <c r="H10" i="14"/>
  <c r="I18" i="13"/>
  <c r="H18" i="13"/>
  <c r="I17" i="12"/>
  <c r="H17" i="12"/>
  <c r="I18" i="12"/>
  <c r="H18" i="12"/>
  <c r="I15" i="12"/>
  <c r="H15" i="12"/>
  <c r="I15" i="3"/>
  <c r="H15" i="3"/>
  <c r="F13" i="7"/>
  <c r="F12" i="7"/>
  <c r="F11" i="7"/>
  <c r="F10" i="7"/>
  <c r="F9" i="7"/>
  <c r="F15" i="7"/>
  <c r="I17" i="3"/>
  <c r="H17" i="3"/>
  <c r="I13" i="3"/>
  <c r="H13" i="3"/>
  <c r="E10" i="1"/>
  <c r="F10" i="1"/>
  <c r="G10" i="1"/>
  <c r="C9" i="1"/>
  <c r="D9" i="1"/>
  <c r="O30" i="2"/>
  <c r="J15" i="19"/>
  <c r="E23" i="19"/>
  <c r="F59" i="4"/>
  <c r="F79" i="9"/>
  <c r="P9" i="2"/>
  <c r="P8" i="2"/>
  <c r="P22" i="2"/>
  <c r="P16" i="2"/>
  <c r="P10" i="2"/>
  <c r="P38" i="2"/>
  <c r="P24" i="2"/>
  <c r="P33" i="2"/>
  <c r="P21" i="2"/>
  <c r="P30" i="2"/>
  <c r="P20" i="2"/>
  <c r="P19" i="2"/>
  <c r="P18" i="2"/>
  <c r="P17" i="2"/>
  <c r="P27" i="2"/>
  <c r="P29" i="2"/>
  <c r="P28" i="2"/>
  <c r="P23" i="2"/>
  <c r="P26" i="2"/>
  <c r="P25" i="2"/>
  <c r="P32" i="2"/>
  <c r="P31" i="2"/>
  <c r="P68" i="2"/>
  <c r="C8" i="1"/>
  <c r="I17" i="15"/>
  <c r="N62" i="2"/>
  <c r="C62" i="4"/>
  <c r="C82" i="9"/>
  <c r="N65" i="2"/>
  <c r="C65" i="4"/>
  <c r="N10" i="2"/>
  <c r="C10" i="4"/>
  <c r="N27" i="2"/>
  <c r="C27" i="4"/>
  <c r="C27" i="9"/>
  <c r="N21" i="2"/>
  <c r="C21" i="4"/>
  <c r="C21" i="9"/>
  <c r="N25" i="2"/>
  <c r="C25" i="4"/>
  <c r="O29" i="2"/>
  <c r="O28" i="2"/>
  <c r="N67" i="2"/>
  <c r="C67" i="4"/>
  <c r="C87" i="9"/>
  <c r="N9" i="2"/>
  <c r="C9" i="4"/>
  <c r="N64" i="2"/>
  <c r="C64" i="4"/>
  <c r="N18" i="2"/>
  <c r="N33" i="2"/>
  <c r="C33" i="4"/>
  <c r="N7" i="2"/>
  <c r="C7" i="4"/>
  <c r="O33" i="2"/>
  <c r="O25" i="2"/>
  <c r="N19" i="2"/>
  <c r="C19" i="4"/>
  <c r="C19" i="9"/>
  <c r="N31" i="2"/>
  <c r="N8" i="2"/>
  <c r="C8" i="4"/>
  <c r="N23" i="2"/>
  <c r="N17" i="2"/>
  <c r="Q32" i="2"/>
  <c r="O17" i="2"/>
  <c r="O32" i="2"/>
  <c r="O31" i="2"/>
  <c r="F16" i="27"/>
  <c r="F17" i="27"/>
  <c r="F17" i="33"/>
  <c r="F18" i="33"/>
  <c r="F19" i="33"/>
  <c r="E24" i="33"/>
  <c r="G8" i="4"/>
  <c r="G8" i="9"/>
  <c r="E21" i="32"/>
  <c r="F64" i="4"/>
  <c r="F84" i="9"/>
  <c r="E24" i="32"/>
  <c r="F67" i="4"/>
  <c r="F87" i="9"/>
  <c r="O8" i="2"/>
  <c r="F19" i="24"/>
  <c r="F20" i="24"/>
  <c r="F21" i="24"/>
  <c r="F16" i="7"/>
  <c r="F17" i="7"/>
  <c r="F18" i="7"/>
  <c r="E23" i="7"/>
  <c r="G7" i="4"/>
  <c r="G7" i="9"/>
  <c r="H8" i="31"/>
  <c r="H18" i="31"/>
  <c r="H15" i="13"/>
  <c r="I15" i="19"/>
  <c r="E8" i="9"/>
  <c r="E40" i="18"/>
  <c r="E47" i="4"/>
  <c r="E64" i="9"/>
  <c r="E48" i="24"/>
  <c r="G50" i="4"/>
  <c r="G67" i="9"/>
  <c r="E33" i="24"/>
  <c r="G35" i="4"/>
  <c r="G43" i="9"/>
  <c r="E52" i="24"/>
  <c r="G54" i="4"/>
  <c r="G74" i="9"/>
  <c r="D25" i="27"/>
  <c r="G66" i="4"/>
  <c r="G86" i="9"/>
  <c r="F25" i="17"/>
  <c r="F12" i="4"/>
  <c r="F12" i="9"/>
  <c r="F26" i="17"/>
  <c r="F13" i="4"/>
  <c r="F13" i="9"/>
  <c r="C86" i="9"/>
  <c r="C63" i="9"/>
  <c r="C46" i="9"/>
  <c r="C72" i="9"/>
  <c r="C80" i="9"/>
  <c r="H58" i="4"/>
  <c r="C78" i="9"/>
  <c r="I58" i="4"/>
  <c r="K58" i="4"/>
  <c r="M58" i="4"/>
  <c r="C42" i="9"/>
  <c r="C59" i="9"/>
  <c r="C68" i="9"/>
  <c r="C64" i="9"/>
  <c r="C41" i="9"/>
  <c r="C9" i="9"/>
  <c r="C83" i="9"/>
  <c r="C79" i="9"/>
  <c r="C43" i="9"/>
  <c r="C60" i="9"/>
  <c r="C47" i="9"/>
  <c r="C65" i="9"/>
  <c r="C84" i="9"/>
  <c r="C25" i="9"/>
  <c r="F49" i="18"/>
  <c r="F56" i="4"/>
  <c r="F76" i="9"/>
  <c r="F47" i="18"/>
  <c r="F54" i="4"/>
  <c r="F74" i="9"/>
  <c r="F45" i="18"/>
  <c r="F52" i="4"/>
  <c r="F72" i="9"/>
  <c r="F43" i="18"/>
  <c r="F50" i="4"/>
  <c r="F67" i="9"/>
  <c r="F41" i="18"/>
  <c r="F48" i="4"/>
  <c r="F65" i="9"/>
  <c r="F39" i="18"/>
  <c r="F46" i="4"/>
  <c r="F63" i="9"/>
  <c r="F37" i="18"/>
  <c r="F44" i="4"/>
  <c r="F61" i="9"/>
  <c r="F35" i="18"/>
  <c r="F42" i="4"/>
  <c r="F59" i="9"/>
  <c r="F33" i="18"/>
  <c r="F40" i="4"/>
  <c r="F48" i="9"/>
  <c r="F31" i="18"/>
  <c r="F38" i="4"/>
  <c r="F46" i="9"/>
  <c r="F29" i="18"/>
  <c r="F36" i="4"/>
  <c r="F44" i="9"/>
  <c r="F27" i="18"/>
  <c r="F34" i="4"/>
  <c r="F42" i="9"/>
  <c r="F25" i="18"/>
  <c r="F32" i="4"/>
  <c r="F40" i="9"/>
  <c r="F23" i="18"/>
  <c r="F30" i="4"/>
  <c r="F38" i="9"/>
  <c r="E25" i="19"/>
  <c r="F61" i="4"/>
  <c r="F81" i="9"/>
  <c r="E20" i="32"/>
  <c r="F63" i="4"/>
  <c r="F83" i="9"/>
  <c r="E23" i="32"/>
  <c r="F66" i="4"/>
  <c r="F86" i="9"/>
  <c r="C77" i="9"/>
  <c r="C75" i="9"/>
  <c r="C73" i="9"/>
  <c r="C15" i="9"/>
  <c r="C13" i="9"/>
  <c r="C11" i="9"/>
  <c r="N29" i="2"/>
  <c r="F50" i="18"/>
  <c r="F57" i="4"/>
  <c r="F77" i="9"/>
  <c r="F48" i="18"/>
  <c r="F55" i="4"/>
  <c r="F75" i="9"/>
  <c r="F46" i="18"/>
  <c r="F53" i="4"/>
  <c r="F73" i="9"/>
  <c r="F44" i="18"/>
  <c r="F51" i="4"/>
  <c r="F68" i="9"/>
  <c r="F42" i="18"/>
  <c r="F49" i="4"/>
  <c r="F66" i="9"/>
  <c r="F40" i="18"/>
  <c r="F47" i="4"/>
  <c r="F64" i="9"/>
  <c r="F38" i="18"/>
  <c r="F45" i="4"/>
  <c r="F62" i="9"/>
  <c r="F36" i="18"/>
  <c r="F43" i="4"/>
  <c r="F60" i="9"/>
  <c r="F34" i="18"/>
  <c r="F41" i="4"/>
  <c r="F49" i="9"/>
  <c r="F32" i="18"/>
  <c r="F39" i="4"/>
  <c r="F47" i="9"/>
  <c r="F30" i="18"/>
  <c r="F37" i="4"/>
  <c r="F45" i="9"/>
  <c r="F28" i="18"/>
  <c r="F35" i="4"/>
  <c r="F43" i="9"/>
  <c r="F26" i="18"/>
  <c r="F33" i="4"/>
  <c r="F41" i="9"/>
  <c r="F24" i="18"/>
  <c r="F31" i="4"/>
  <c r="F39" i="9"/>
  <c r="F22" i="18"/>
  <c r="F29" i="4"/>
  <c r="F29" i="9"/>
  <c r="E24" i="19"/>
  <c r="F60" i="4"/>
  <c r="F80" i="9"/>
  <c r="C74" i="9"/>
  <c r="C14" i="9"/>
  <c r="C29" i="4"/>
  <c r="Q28" i="2"/>
  <c r="C30" i="4"/>
  <c r="Q29" i="2"/>
  <c r="C26" i="9"/>
  <c r="C22" i="9"/>
  <c r="C20" i="9"/>
  <c r="C16" i="4"/>
  <c r="Q9" i="2"/>
  <c r="C18" i="4"/>
  <c r="I18" i="15"/>
  <c r="I19" i="15"/>
  <c r="D24" i="15"/>
  <c r="D62" i="4"/>
  <c r="F23" i="17"/>
  <c r="F10" i="4"/>
  <c r="F10" i="9"/>
  <c r="F36" i="17"/>
  <c r="F27" i="17"/>
  <c r="F14" i="4"/>
  <c r="F14" i="9"/>
  <c r="F24" i="17"/>
  <c r="F11" i="4"/>
  <c r="F11" i="9"/>
  <c r="F28" i="17"/>
  <c r="F15" i="4"/>
  <c r="F15" i="9"/>
  <c r="I13" i="6"/>
  <c r="F21" i="6"/>
  <c r="E7" i="4"/>
  <c r="E7" i="9"/>
  <c r="I14" i="17"/>
  <c r="E28" i="18"/>
  <c r="E35" i="4"/>
  <c r="E43" i="9"/>
  <c r="E25" i="18"/>
  <c r="E32" i="4"/>
  <c r="E40" i="9"/>
  <c r="E23" i="18"/>
  <c r="E30" i="4"/>
  <c r="E38" i="9"/>
  <c r="F19" i="25"/>
  <c r="F15" i="26"/>
  <c r="F16" i="26"/>
  <c r="D21" i="26"/>
  <c r="G62" i="4"/>
  <c r="G82" i="9"/>
  <c r="H8" i="12"/>
  <c r="H10" i="13"/>
  <c r="C28" i="9"/>
  <c r="C44" i="9"/>
  <c r="C61" i="9"/>
  <c r="C48" i="9"/>
  <c r="C67" i="9"/>
  <c r="C66" i="9"/>
  <c r="H11" i="29"/>
  <c r="I18" i="29"/>
  <c r="H9" i="31"/>
  <c r="I18" i="31"/>
  <c r="D20" i="32"/>
  <c r="E63" i="4"/>
  <c r="E83" i="9"/>
  <c r="D21" i="32"/>
  <c r="E64" i="4"/>
  <c r="E84" i="9"/>
  <c r="D22" i="32"/>
  <c r="E65" i="4"/>
  <c r="E85" i="9"/>
  <c r="D23" i="32"/>
  <c r="E66" i="4"/>
  <c r="E86" i="9"/>
  <c r="D24" i="32"/>
  <c r="E67" i="4"/>
  <c r="E87" i="9"/>
  <c r="C85" i="9"/>
  <c r="F22" i="17"/>
  <c r="F9" i="4"/>
  <c r="F9" i="9"/>
  <c r="E35" i="18"/>
  <c r="E42" i="4"/>
  <c r="E59" i="9"/>
  <c r="E42" i="24"/>
  <c r="G44" i="4"/>
  <c r="G61" i="9"/>
  <c r="E43" i="24"/>
  <c r="G45" i="4"/>
  <c r="G62" i="9"/>
  <c r="E44" i="24"/>
  <c r="G46" i="4"/>
  <c r="G63" i="9"/>
  <c r="E27" i="24"/>
  <c r="G29" i="4"/>
  <c r="G29" i="9"/>
  <c r="E51" i="24"/>
  <c r="G53" i="4"/>
  <c r="G73" i="9"/>
  <c r="E46" i="24"/>
  <c r="G48" i="4"/>
  <c r="G65" i="9"/>
  <c r="E41" i="24"/>
  <c r="G43" i="4"/>
  <c r="G60" i="9"/>
  <c r="E49" i="24"/>
  <c r="G51" i="4"/>
  <c r="G68" i="9"/>
  <c r="D26" i="27"/>
  <c r="G67" i="4"/>
  <c r="G87" i="9"/>
  <c r="C23" i="4"/>
  <c r="Q22" i="2"/>
  <c r="Q30" i="2"/>
  <c r="C10" i="9"/>
  <c r="D8" i="1"/>
  <c r="C7" i="1"/>
  <c r="D7" i="1"/>
  <c r="E9" i="1"/>
  <c r="F9" i="1"/>
  <c r="G9" i="1"/>
  <c r="F20" i="23"/>
  <c r="H18" i="29"/>
  <c r="E8" i="1"/>
  <c r="C23" i="9"/>
  <c r="I19" i="31"/>
  <c r="I19" i="29"/>
  <c r="I20" i="29"/>
  <c r="F25" i="29"/>
  <c r="D8" i="4"/>
  <c r="F20" i="25"/>
  <c r="F21" i="25"/>
  <c r="E22" i="17"/>
  <c r="E9" i="4"/>
  <c r="E9" i="9"/>
  <c r="E27" i="17"/>
  <c r="E14" i="4"/>
  <c r="E14" i="9"/>
  <c r="E25" i="17"/>
  <c r="E12" i="4"/>
  <c r="E12" i="9"/>
  <c r="E33" i="17"/>
  <c r="E20" i="4"/>
  <c r="E20" i="9"/>
  <c r="E34" i="17"/>
  <c r="E21" i="4"/>
  <c r="E21" i="9"/>
  <c r="E23" i="17"/>
  <c r="E10" i="4"/>
  <c r="E10" i="9"/>
  <c r="F21" i="23"/>
  <c r="F22" i="23"/>
  <c r="F23" i="4"/>
  <c r="F23" i="9"/>
  <c r="F41" i="17"/>
  <c r="C18" i="9"/>
  <c r="C16" i="9"/>
  <c r="C38" i="9"/>
  <c r="E42" i="23"/>
  <c r="G22" i="4"/>
  <c r="G22" i="9"/>
  <c r="E35" i="23"/>
  <c r="G15" i="4"/>
  <c r="G15" i="9"/>
  <c r="E38" i="23"/>
  <c r="G18" i="4"/>
  <c r="G18" i="9"/>
  <c r="E41" i="23"/>
  <c r="G21" i="4"/>
  <c r="G21" i="9"/>
  <c r="D28" i="25"/>
  <c r="G61" i="4"/>
  <c r="G81" i="9"/>
  <c r="H78" i="9"/>
  <c r="J78" i="9"/>
  <c r="M78" i="9"/>
  <c r="I78" i="9"/>
  <c r="K78" i="9"/>
  <c r="N78" i="9"/>
  <c r="D8" i="9"/>
  <c r="I8" i="4"/>
  <c r="E30" i="23"/>
  <c r="G10" i="4"/>
  <c r="G10" i="9"/>
  <c r="E37" i="23"/>
  <c r="G17" i="4"/>
  <c r="G17" i="9"/>
  <c r="E32" i="23"/>
  <c r="G12" i="4"/>
  <c r="G12" i="9"/>
  <c r="E33" i="23"/>
  <c r="G13" i="4"/>
  <c r="G13" i="9"/>
  <c r="E40" i="23"/>
  <c r="G20" i="4"/>
  <c r="G20" i="9"/>
  <c r="E47" i="23"/>
  <c r="G27" i="4"/>
  <c r="G27" i="9"/>
  <c r="E31" i="23"/>
  <c r="G11" i="4"/>
  <c r="G11" i="9"/>
  <c r="E39" i="23"/>
  <c r="G19" i="4"/>
  <c r="G19" i="9"/>
  <c r="E43" i="23"/>
  <c r="G23" i="4"/>
  <c r="G23" i="9"/>
  <c r="E36" i="23"/>
  <c r="G16" i="4"/>
  <c r="G16" i="9"/>
  <c r="F8" i="1"/>
  <c r="G8" i="1"/>
  <c r="C29" i="9"/>
  <c r="J58" i="4"/>
  <c r="L58" i="4"/>
  <c r="D24" i="19"/>
  <c r="E60" i="4"/>
  <c r="E80" i="9"/>
  <c r="D25" i="19"/>
  <c r="E61" i="4"/>
  <c r="E81" i="9"/>
  <c r="E50" i="18"/>
  <c r="E57" i="4"/>
  <c r="E77" i="9"/>
  <c r="E22" i="18"/>
  <c r="E29" i="4"/>
  <c r="E29" i="9"/>
  <c r="E34" i="18"/>
  <c r="E41" i="4"/>
  <c r="E49" i="9"/>
  <c r="E41" i="18"/>
  <c r="E48" i="4"/>
  <c r="E65" i="9"/>
  <c r="E36" i="18"/>
  <c r="E43" i="4"/>
  <c r="E60" i="9"/>
  <c r="E21" i="18"/>
  <c r="E28" i="4"/>
  <c r="E28" i="9"/>
  <c r="E31" i="18"/>
  <c r="E38" i="4"/>
  <c r="E46" i="9"/>
  <c r="E49" i="18"/>
  <c r="E56" i="4"/>
  <c r="E76" i="9"/>
  <c r="E44" i="18"/>
  <c r="E51" i="4"/>
  <c r="E68" i="9"/>
  <c r="E29" i="18"/>
  <c r="E36" i="4"/>
  <c r="E44" i="9"/>
  <c r="E47" i="18"/>
  <c r="E54" i="4"/>
  <c r="E74" i="9"/>
  <c r="E38" i="18"/>
  <c r="E45" i="4"/>
  <c r="E62" i="9"/>
  <c r="E39" i="18"/>
  <c r="E46" i="4"/>
  <c r="E63" i="9"/>
  <c r="E30" i="18"/>
  <c r="E37" i="4"/>
  <c r="E45" i="9"/>
  <c r="E26" i="18"/>
  <c r="E33" i="4"/>
  <c r="E41" i="9"/>
  <c r="E24" i="18"/>
  <c r="E31" i="4"/>
  <c r="E39" i="9"/>
  <c r="E46" i="18"/>
  <c r="E53" i="4"/>
  <c r="E73" i="9"/>
  <c r="E48" i="18"/>
  <c r="E55" i="4"/>
  <c r="E75" i="9"/>
  <c r="E37" i="18"/>
  <c r="E44" i="4"/>
  <c r="E61" i="9"/>
  <c r="E45" i="18"/>
  <c r="E52" i="4"/>
  <c r="E72" i="9"/>
  <c r="E43" i="18"/>
  <c r="E50" i="4"/>
  <c r="E67" i="9"/>
  <c r="E33" i="18"/>
  <c r="E40" i="4"/>
  <c r="E48" i="9"/>
  <c r="H9" i="12"/>
  <c r="I19" i="12"/>
  <c r="H11" i="3"/>
  <c r="H18" i="3"/>
  <c r="I18" i="3"/>
  <c r="H19" i="13"/>
  <c r="H9" i="13"/>
  <c r="I19" i="13"/>
  <c r="E34" i="23"/>
  <c r="G14" i="4"/>
  <c r="G14" i="9"/>
  <c r="E46" i="23"/>
  <c r="G26" i="4"/>
  <c r="G26" i="9"/>
  <c r="E29" i="23"/>
  <c r="G9" i="4"/>
  <c r="G9" i="9"/>
  <c r="E45" i="23"/>
  <c r="G25" i="4"/>
  <c r="G25" i="9"/>
  <c r="E44" i="23"/>
  <c r="G24" i="4"/>
  <c r="G24" i="9"/>
  <c r="I20" i="14"/>
  <c r="E7" i="1"/>
  <c r="F7" i="1"/>
  <c r="G7" i="1"/>
  <c r="D26" i="25"/>
  <c r="G59" i="4"/>
  <c r="G79" i="9"/>
  <c r="D27" i="25"/>
  <c r="G60" i="4"/>
  <c r="G80" i="9"/>
  <c r="I62" i="4"/>
  <c r="I20" i="31"/>
  <c r="E27" i="18"/>
  <c r="E34" i="4"/>
  <c r="E42" i="9"/>
  <c r="E32" i="18"/>
  <c r="E39" i="4"/>
  <c r="E47" i="9"/>
  <c r="E42" i="18"/>
  <c r="E49" i="4"/>
  <c r="E66" i="9"/>
  <c r="E30" i="17"/>
  <c r="E17" i="4"/>
  <c r="E17" i="9"/>
  <c r="E28" i="17"/>
  <c r="E15" i="4"/>
  <c r="E15" i="9"/>
  <c r="E32" i="17"/>
  <c r="E19" i="4"/>
  <c r="E19" i="9"/>
  <c r="E29" i="17"/>
  <c r="E16" i="4"/>
  <c r="E16" i="9"/>
  <c r="E26" i="17"/>
  <c r="E13" i="4"/>
  <c r="E13" i="9"/>
  <c r="E24" i="17"/>
  <c r="E11" i="4"/>
  <c r="E11" i="9"/>
  <c r="E31" i="17"/>
  <c r="E18" i="4"/>
  <c r="E18" i="9"/>
  <c r="D82" i="9"/>
  <c r="H62" i="4"/>
  <c r="D23" i="19"/>
  <c r="E59" i="4"/>
  <c r="E79" i="9"/>
  <c r="D22" i="27"/>
  <c r="G63" i="4"/>
  <c r="G83" i="9"/>
  <c r="D24" i="27"/>
  <c r="G65" i="4"/>
  <c r="G85" i="9"/>
  <c r="D23" i="27"/>
  <c r="G64" i="4"/>
  <c r="G84" i="9"/>
  <c r="C17" i="4"/>
  <c r="Q16" i="2"/>
  <c r="C8" i="9"/>
  <c r="H8" i="4"/>
  <c r="C31" i="4"/>
  <c r="Q31" i="2"/>
  <c r="C7" i="9"/>
  <c r="H19" i="12"/>
  <c r="E36" i="24"/>
  <c r="G38" i="4"/>
  <c r="G46" i="9"/>
  <c r="E37" i="24"/>
  <c r="G39" i="4"/>
  <c r="G47" i="9"/>
  <c r="E32" i="24"/>
  <c r="G34" i="4"/>
  <c r="G42" i="9"/>
  <c r="E45" i="24"/>
  <c r="G47" i="4"/>
  <c r="G64" i="9"/>
  <c r="E40" i="24"/>
  <c r="G42" i="4"/>
  <c r="G59" i="9"/>
  <c r="E35" i="24"/>
  <c r="G37" i="4"/>
  <c r="G45" i="9"/>
  <c r="E31" i="24"/>
  <c r="G33" i="4"/>
  <c r="G41" i="9"/>
  <c r="E26" i="24"/>
  <c r="G28" i="4"/>
  <c r="G28" i="9"/>
  <c r="E55" i="24"/>
  <c r="G57" i="4"/>
  <c r="G77" i="9"/>
  <c r="E28" i="24"/>
  <c r="G30" i="4"/>
  <c r="G38" i="9"/>
  <c r="E47" i="24"/>
  <c r="G49" i="4"/>
  <c r="G66" i="9"/>
  <c r="E30" i="24"/>
  <c r="G32" i="4"/>
  <c r="G40" i="9"/>
  <c r="E54" i="24"/>
  <c r="G56" i="4"/>
  <c r="G76" i="9"/>
  <c r="E38" i="24"/>
  <c r="G40" i="4"/>
  <c r="G48" i="9"/>
  <c r="E50" i="24"/>
  <c r="G52" i="4"/>
  <c r="G72" i="9"/>
  <c r="E39" i="24"/>
  <c r="G41" i="4"/>
  <c r="G49" i="9"/>
  <c r="E34" i="24"/>
  <c r="G36" i="4"/>
  <c r="G44" i="9"/>
  <c r="E29" i="24"/>
  <c r="G31" i="4"/>
  <c r="G39" i="9"/>
  <c r="E53" i="24"/>
  <c r="G55" i="4"/>
  <c r="G75" i="9"/>
  <c r="H17" i="15"/>
  <c r="H18" i="14"/>
  <c r="O38" i="2"/>
  <c r="O68" i="2"/>
  <c r="J8" i="4"/>
  <c r="L8" i="4"/>
  <c r="J62" i="4"/>
  <c r="L62" i="4"/>
  <c r="I20" i="13"/>
  <c r="I21" i="13"/>
  <c r="K8" i="4"/>
  <c r="M8" i="4"/>
  <c r="C39" i="9"/>
  <c r="H8" i="9"/>
  <c r="I8" i="9"/>
  <c r="C17" i="9"/>
  <c r="I82" i="9"/>
  <c r="H82" i="9"/>
  <c r="D28" i="31"/>
  <c r="D66" i="4"/>
  <c r="D26" i="31"/>
  <c r="D64" i="4"/>
  <c r="D29" i="31"/>
  <c r="D67" i="4"/>
  <c r="D27" i="31"/>
  <c r="D65" i="4"/>
  <c r="D25" i="31"/>
  <c r="D63" i="4"/>
  <c r="M62" i="4"/>
  <c r="K62" i="4"/>
  <c r="D26" i="14"/>
  <c r="D60" i="4"/>
  <c r="D27" i="14"/>
  <c r="D61" i="4"/>
  <c r="D25" i="14"/>
  <c r="D59" i="4"/>
  <c r="I19" i="3"/>
  <c r="I20" i="3"/>
  <c r="F25" i="3"/>
  <c r="D7" i="4"/>
  <c r="I20" i="12"/>
  <c r="I21" i="12"/>
  <c r="D7" i="9"/>
  <c r="I7" i="4"/>
  <c r="H7" i="4"/>
  <c r="E32" i="13"/>
  <c r="D31" i="4"/>
  <c r="E34" i="13"/>
  <c r="D33" i="4"/>
  <c r="E36" i="13"/>
  <c r="D35" i="4"/>
  <c r="E38" i="13"/>
  <c r="D37" i="4"/>
  <c r="E40" i="13"/>
  <c r="D39" i="4"/>
  <c r="E42" i="13"/>
  <c r="D41" i="4"/>
  <c r="E44" i="13"/>
  <c r="D43" i="4"/>
  <c r="E46" i="13"/>
  <c r="D45" i="4"/>
  <c r="E48" i="13"/>
  <c r="D47" i="4"/>
  <c r="E50" i="13"/>
  <c r="D49" i="4"/>
  <c r="E52" i="13"/>
  <c r="D51" i="4"/>
  <c r="E54" i="13"/>
  <c r="D53" i="4"/>
  <c r="E56" i="13"/>
  <c r="D55" i="4"/>
  <c r="E58" i="13"/>
  <c r="D57" i="4"/>
  <c r="E31" i="13"/>
  <c r="D30" i="4"/>
  <c r="E33" i="13"/>
  <c r="D32" i="4"/>
  <c r="E35" i="13"/>
  <c r="D34" i="4"/>
  <c r="E37" i="13"/>
  <c r="D36" i="4"/>
  <c r="E39" i="13"/>
  <c r="D38" i="4"/>
  <c r="E41" i="13"/>
  <c r="D40" i="4"/>
  <c r="E43" i="13"/>
  <c r="D42" i="4"/>
  <c r="E45" i="13"/>
  <c r="D44" i="4"/>
  <c r="E47" i="13"/>
  <c r="D46" i="4"/>
  <c r="E49" i="13"/>
  <c r="D48" i="4"/>
  <c r="E51" i="13"/>
  <c r="D50" i="4"/>
  <c r="E53" i="13"/>
  <c r="D52" i="4"/>
  <c r="E55" i="13"/>
  <c r="D54" i="4"/>
  <c r="E57" i="13"/>
  <c r="D56" i="4"/>
  <c r="E29" i="13"/>
  <c r="D28" i="4"/>
  <c r="E30" i="13"/>
  <c r="D29" i="4"/>
  <c r="E44" i="12"/>
  <c r="D27" i="4"/>
  <c r="E29" i="12"/>
  <c r="D12" i="4"/>
  <c r="E33" i="12"/>
  <c r="D16" i="4"/>
  <c r="E37" i="12"/>
  <c r="D20" i="4"/>
  <c r="E41" i="12"/>
  <c r="D24" i="4"/>
  <c r="E26" i="12"/>
  <c r="D9" i="4"/>
  <c r="E42" i="12"/>
  <c r="D25" i="4"/>
  <c r="E27" i="12"/>
  <c r="D10" i="4"/>
  <c r="E31" i="12"/>
  <c r="D14" i="4"/>
  <c r="E35" i="12"/>
  <c r="D18" i="4"/>
  <c r="E39" i="12"/>
  <c r="D22" i="4"/>
  <c r="E43" i="12"/>
  <c r="D26" i="4"/>
  <c r="E30" i="12"/>
  <c r="D13" i="4"/>
  <c r="E34" i="12"/>
  <c r="D17" i="4"/>
  <c r="E38" i="12"/>
  <c r="D21" i="4"/>
  <c r="E28" i="12"/>
  <c r="D11" i="4"/>
  <c r="E32" i="12"/>
  <c r="D15" i="4"/>
  <c r="E36" i="12"/>
  <c r="D19" i="4"/>
  <c r="E40" i="12"/>
  <c r="D79" i="9"/>
  <c r="I59" i="4"/>
  <c r="H59" i="4"/>
  <c r="I60" i="4"/>
  <c r="D80" i="9"/>
  <c r="H60" i="4"/>
  <c r="H65" i="4"/>
  <c r="I65" i="4"/>
  <c r="D85" i="9"/>
  <c r="I64" i="4"/>
  <c r="H64" i="4"/>
  <c r="D84" i="9"/>
  <c r="J82" i="9"/>
  <c r="M82" i="9"/>
  <c r="J8" i="9"/>
  <c r="M8" i="9"/>
  <c r="I61" i="4"/>
  <c r="H61" i="4"/>
  <c r="D81" i="9"/>
  <c r="D83" i="9"/>
  <c r="H63" i="4"/>
  <c r="I63" i="4"/>
  <c r="I67" i="4"/>
  <c r="H67" i="4"/>
  <c r="D87" i="9"/>
  <c r="I66" i="4"/>
  <c r="H66" i="4"/>
  <c r="D86" i="9"/>
  <c r="K82" i="9"/>
  <c r="N82" i="9"/>
  <c r="K8" i="9"/>
  <c r="N8" i="9"/>
  <c r="I86" i="9"/>
  <c r="H86" i="9"/>
  <c r="J67" i="4"/>
  <c r="L67" i="4"/>
  <c r="J61" i="4"/>
  <c r="L61" i="4"/>
  <c r="I84" i="9"/>
  <c r="H84" i="9"/>
  <c r="K65" i="4"/>
  <c r="M65" i="4"/>
  <c r="K60" i="4"/>
  <c r="M60" i="4"/>
  <c r="D15" i="9"/>
  <c r="I15" i="4"/>
  <c r="H15" i="4"/>
  <c r="D13" i="9"/>
  <c r="I13" i="4"/>
  <c r="H13" i="4"/>
  <c r="H14" i="4"/>
  <c r="D14" i="9"/>
  <c r="I14" i="4"/>
  <c r="I24" i="4"/>
  <c r="D24" i="9"/>
  <c r="H24" i="4"/>
  <c r="D27" i="9"/>
  <c r="I27" i="4"/>
  <c r="H27" i="4"/>
  <c r="I46" i="4"/>
  <c r="H46" i="4"/>
  <c r="D63" i="9"/>
  <c r="K7" i="4"/>
  <c r="M7" i="4"/>
  <c r="K66" i="4"/>
  <c r="M66" i="4"/>
  <c r="K63" i="4"/>
  <c r="M63" i="4"/>
  <c r="I83" i="9"/>
  <c r="H83" i="9"/>
  <c r="K64" i="4"/>
  <c r="M64" i="4"/>
  <c r="J60" i="4"/>
  <c r="L60" i="4"/>
  <c r="K59" i="4"/>
  <c r="M59" i="4"/>
  <c r="E46" i="12"/>
  <c r="D23" i="4"/>
  <c r="H21" i="4"/>
  <c r="I21" i="4"/>
  <c r="D21" i="9"/>
  <c r="H22" i="4"/>
  <c r="I22" i="4"/>
  <c r="D22" i="9"/>
  <c r="H25" i="4"/>
  <c r="I25" i="4"/>
  <c r="D25" i="9"/>
  <c r="D16" i="9"/>
  <c r="I16" i="4"/>
  <c r="H16" i="4"/>
  <c r="I28" i="4"/>
  <c r="D28" i="9"/>
  <c r="H28" i="4"/>
  <c r="H54" i="4"/>
  <c r="D74" i="9"/>
  <c r="I54" i="4"/>
  <c r="D67" i="9"/>
  <c r="I50" i="4"/>
  <c r="H50" i="4"/>
  <c r="D59" i="9"/>
  <c r="I42" i="4"/>
  <c r="H42" i="4"/>
  <c r="D46" i="9"/>
  <c r="H38" i="4"/>
  <c r="I38" i="4"/>
  <c r="I34" i="4"/>
  <c r="H34" i="4"/>
  <c r="D42" i="9"/>
  <c r="D38" i="9"/>
  <c r="I30" i="4"/>
  <c r="H30" i="4"/>
  <c r="H55" i="4"/>
  <c r="I55" i="4"/>
  <c r="D75" i="9"/>
  <c r="D68" i="9"/>
  <c r="I51" i="4"/>
  <c r="H51" i="4"/>
  <c r="D64" i="9"/>
  <c r="I47" i="4"/>
  <c r="H47" i="4"/>
  <c r="I43" i="4"/>
  <c r="D60" i="9"/>
  <c r="H43" i="4"/>
  <c r="I39" i="4"/>
  <c r="D47" i="9"/>
  <c r="H39" i="4"/>
  <c r="D43" i="9"/>
  <c r="I35" i="4"/>
  <c r="H35" i="4"/>
  <c r="D39" i="9"/>
  <c r="H31" i="4"/>
  <c r="I31" i="4"/>
  <c r="J66" i="4"/>
  <c r="L66" i="4"/>
  <c r="I87" i="9"/>
  <c r="H87" i="9"/>
  <c r="K67" i="4"/>
  <c r="M67" i="4"/>
  <c r="J63" i="4"/>
  <c r="L63" i="4"/>
  <c r="H81" i="9"/>
  <c r="I81" i="9"/>
  <c r="K61" i="4"/>
  <c r="M61" i="4"/>
  <c r="J64" i="4"/>
  <c r="L64" i="4"/>
  <c r="H85" i="9"/>
  <c r="I85" i="9"/>
  <c r="J65" i="4"/>
  <c r="L65" i="4"/>
  <c r="I80" i="9"/>
  <c r="H80" i="9"/>
  <c r="J59" i="4"/>
  <c r="L59" i="4"/>
  <c r="I79" i="9"/>
  <c r="H79" i="9"/>
  <c r="H19" i="4"/>
  <c r="I19" i="4"/>
  <c r="D19" i="9"/>
  <c r="D11" i="9"/>
  <c r="H11" i="4"/>
  <c r="I11" i="4"/>
  <c r="D17" i="9"/>
  <c r="H17" i="4"/>
  <c r="I17" i="4"/>
  <c r="D26" i="9"/>
  <c r="H26" i="4"/>
  <c r="I26" i="4"/>
  <c r="D18" i="9"/>
  <c r="H18" i="4"/>
  <c r="I18" i="4"/>
  <c r="I10" i="4"/>
  <c r="D10" i="9"/>
  <c r="H10" i="4"/>
  <c r="D9" i="9"/>
  <c r="I9" i="4"/>
  <c r="H9" i="4"/>
  <c r="D20" i="9"/>
  <c r="I20" i="4"/>
  <c r="H20" i="4"/>
  <c r="D12" i="9"/>
  <c r="H12" i="4"/>
  <c r="I12" i="4"/>
  <c r="D29" i="9"/>
  <c r="I29" i="4"/>
  <c r="H29" i="4"/>
  <c r="I56" i="4"/>
  <c r="H56" i="4"/>
  <c r="D76" i="9"/>
  <c r="D72" i="9"/>
  <c r="H52" i="4"/>
  <c r="I52" i="4"/>
  <c r="D65" i="9"/>
  <c r="H48" i="4"/>
  <c r="I48" i="4"/>
  <c r="D61" i="9"/>
  <c r="I44" i="4"/>
  <c r="H44" i="4"/>
  <c r="I40" i="4"/>
  <c r="H40" i="4"/>
  <c r="D48" i="9"/>
  <c r="D44" i="9"/>
  <c r="H36" i="4"/>
  <c r="I36" i="4"/>
  <c r="D40" i="9"/>
  <c r="I32" i="4"/>
  <c r="H32" i="4"/>
  <c r="H57" i="4"/>
  <c r="D77" i="9"/>
  <c r="I57" i="4"/>
  <c r="H53" i="4"/>
  <c r="I53" i="4"/>
  <c r="D73" i="9"/>
  <c r="I49" i="4"/>
  <c r="H49" i="4"/>
  <c r="D66" i="9"/>
  <c r="H45" i="4"/>
  <c r="I45" i="4"/>
  <c r="D62" i="9"/>
  <c r="D49" i="9"/>
  <c r="I41" i="4"/>
  <c r="H41" i="4"/>
  <c r="D45" i="9"/>
  <c r="I37" i="4"/>
  <c r="H37" i="4"/>
  <c r="D41" i="9"/>
  <c r="H33" i="4"/>
  <c r="I33" i="4"/>
  <c r="J7" i="4"/>
  <c r="L7" i="4"/>
  <c r="H7" i="9"/>
  <c r="I7" i="9"/>
  <c r="K7" i="9"/>
  <c r="N7" i="9"/>
  <c r="M33" i="4"/>
  <c r="K33" i="4"/>
  <c r="M37" i="4"/>
  <c r="K37" i="4"/>
  <c r="M45" i="4"/>
  <c r="K45" i="4"/>
  <c r="H66" i="9"/>
  <c r="I66" i="9"/>
  <c r="M49" i="4"/>
  <c r="K49" i="4"/>
  <c r="M53" i="4"/>
  <c r="K53" i="4"/>
  <c r="K57" i="4"/>
  <c r="M57" i="4"/>
  <c r="L57" i="4"/>
  <c r="J57" i="4"/>
  <c r="M32" i="4"/>
  <c r="K32" i="4"/>
  <c r="M36" i="4"/>
  <c r="K36" i="4"/>
  <c r="I44" i="9"/>
  <c r="H44" i="9"/>
  <c r="L40" i="4"/>
  <c r="J40" i="4"/>
  <c r="L44" i="4"/>
  <c r="J44" i="4"/>
  <c r="I61" i="9"/>
  <c r="H61" i="9"/>
  <c r="L48" i="4"/>
  <c r="J48" i="4"/>
  <c r="M52" i="4"/>
  <c r="K52" i="4"/>
  <c r="I72" i="9"/>
  <c r="H72" i="9"/>
  <c r="L56" i="4"/>
  <c r="J56" i="4"/>
  <c r="J29" i="4"/>
  <c r="L29" i="4"/>
  <c r="H29" i="9"/>
  <c r="I29" i="9"/>
  <c r="J12" i="4"/>
  <c r="L12" i="4"/>
  <c r="J20" i="4"/>
  <c r="L20" i="4"/>
  <c r="I20" i="9"/>
  <c r="H20" i="9"/>
  <c r="K9" i="4"/>
  <c r="M9" i="4"/>
  <c r="L10" i="4"/>
  <c r="J10" i="4"/>
  <c r="K10" i="4"/>
  <c r="M10" i="4"/>
  <c r="L18" i="4"/>
  <c r="J18" i="4"/>
  <c r="K26" i="4"/>
  <c r="M26" i="4"/>
  <c r="I26" i="9"/>
  <c r="H26" i="9"/>
  <c r="J17" i="4"/>
  <c r="L17" i="4"/>
  <c r="K11" i="4"/>
  <c r="M11" i="4"/>
  <c r="H11" i="9"/>
  <c r="I11" i="9"/>
  <c r="K19" i="4"/>
  <c r="M19" i="4"/>
  <c r="J79" i="9"/>
  <c r="M79" i="9"/>
  <c r="M80" i="9"/>
  <c r="J80" i="9"/>
  <c r="N85" i="9"/>
  <c r="K85" i="9"/>
  <c r="K81" i="9"/>
  <c r="N81" i="9"/>
  <c r="M87" i="9"/>
  <c r="J87" i="9"/>
  <c r="K31" i="4"/>
  <c r="M31" i="4"/>
  <c r="H39" i="9"/>
  <c r="I39" i="9"/>
  <c r="K35" i="4"/>
  <c r="M35" i="4"/>
  <c r="J39" i="4"/>
  <c r="L39" i="4"/>
  <c r="K39" i="4"/>
  <c r="M39" i="4"/>
  <c r="H60" i="9"/>
  <c r="I60" i="9"/>
  <c r="J47" i="4"/>
  <c r="L47" i="4"/>
  <c r="H64" i="9"/>
  <c r="I64" i="9"/>
  <c r="K51" i="4"/>
  <c r="M51" i="4"/>
  <c r="H75" i="9"/>
  <c r="I75" i="9"/>
  <c r="J55" i="4"/>
  <c r="L55" i="4"/>
  <c r="K30" i="4"/>
  <c r="M30" i="4"/>
  <c r="I42" i="9"/>
  <c r="H42" i="9"/>
  <c r="K34" i="4"/>
  <c r="M34" i="4"/>
  <c r="J38" i="4"/>
  <c r="L38" i="4"/>
  <c r="L42" i="4"/>
  <c r="J42" i="4"/>
  <c r="I59" i="9"/>
  <c r="H59" i="9"/>
  <c r="K50" i="4"/>
  <c r="M50" i="4"/>
  <c r="K54" i="4"/>
  <c r="M54" i="4"/>
  <c r="J54" i="4"/>
  <c r="L54" i="4"/>
  <c r="H28" i="9"/>
  <c r="I28" i="9"/>
  <c r="L16" i="4"/>
  <c r="J16" i="4"/>
  <c r="I16" i="9"/>
  <c r="H16" i="9"/>
  <c r="K25" i="4"/>
  <c r="M25" i="4"/>
  <c r="H22" i="9"/>
  <c r="I22" i="9"/>
  <c r="J22" i="4"/>
  <c r="L22" i="4"/>
  <c r="K21" i="4"/>
  <c r="M21" i="4"/>
  <c r="D23" i="9"/>
  <c r="H23" i="4"/>
  <c r="I23" i="4"/>
  <c r="J83" i="9"/>
  <c r="M83" i="9"/>
  <c r="I63" i="9"/>
  <c r="H63" i="9"/>
  <c r="K46" i="4"/>
  <c r="M46" i="4"/>
  <c r="K27" i="4"/>
  <c r="M27" i="4"/>
  <c r="J24" i="4"/>
  <c r="L24" i="4"/>
  <c r="K24" i="4"/>
  <c r="M24" i="4"/>
  <c r="H14" i="9"/>
  <c r="I14" i="9"/>
  <c r="J13" i="4"/>
  <c r="L13" i="4"/>
  <c r="H13" i="9"/>
  <c r="I13" i="9"/>
  <c r="K15" i="4"/>
  <c r="M15" i="4"/>
  <c r="J84" i="9"/>
  <c r="M84" i="9"/>
  <c r="J86" i="9"/>
  <c r="M86" i="9"/>
  <c r="H41" i="9"/>
  <c r="I41" i="9"/>
  <c r="J41" i="4"/>
  <c r="L41" i="4"/>
  <c r="I49" i="9"/>
  <c r="H49" i="9"/>
  <c r="J7" i="9"/>
  <c r="M7" i="9"/>
  <c r="J33" i="4"/>
  <c r="L33" i="4"/>
  <c r="J37" i="4"/>
  <c r="L37" i="4"/>
  <c r="I45" i="9"/>
  <c r="H45" i="9"/>
  <c r="K41" i="4"/>
  <c r="M41" i="4"/>
  <c r="H62" i="9"/>
  <c r="I62" i="9"/>
  <c r="J45" i="4"/>
  <c r="L45" i="4"/>
  <c r="J49" i="4"/>
  <c r="L49" i="4"/>
  <c r="I73" i="9"/>
  <c r="H73" i="9"/>
  <c r="J53" i="4"/>
  <c r="L53" i="4"/>
  <c r="I77" i="9"/>
  <c r="H77" i="9"/>
  <c r="J32" i="4"/>
  <c r="L32" i="4"/>
  <c r="I40" i="9"/>
  <c r="H40" i="9"/>
  <c r="J36" i="4"/>
  <c r="L36" i="4"/>
  <c r="H48" i="9"/>
  <c r="I48" i="9"/>
  <c r="K40" i="4"/>
  <c r="M40" i="4"/>
  <c r="K44" i="4"/>
  <c r="M44" i="4"/>
  <c r="K48" i="4"/>
  <c r="M48" i="4"/>
  <c r="H65" i="9"/>
  <c r="I65" i="9"/>
  <c r="J52" i="4"/>
  <c r="L52" i="4"/>
  <c r="I76" i="9"/>
  <c r="H76" i="9"/>
  <c r="K56" i="4"/>
  <c r="M56" i="4"/>
  <c r="K29" i="4"/>
  <c r="M29" i="4"/>
  <c r="K12" i="4"/>
  <c r="M12" i="4"/>
  <c r="I12" i="9"/>
  <c r="H12" i="9"/>
  <c r="K20" i="4"/>
  <c r="M20" i="4"/>
  <c r="J9" i="4"/>
  <c r="L9" i="4"/>
  <c r="I9" i="9"/>
  <c r="H9" i="9"/>
  <c r="I10" i="9"/>
  <c r="H10" i="9"/>
  <c r="K18" i="4"/>
  <c r="M18" i="4"/>
  <c r="I18" i="9"/>
  <c r="H18" i="9"/>
  <c r="J26" i="4"/>
  <c r="L26" i="4"/>
  <c r="K17" i="4"/>
  <c r="M17" i="4"/>
  <c r="H17" i="9"/>
  <c r="I17" i="9"/>
  <c r="J11" i="4"/>
  <c r="L11" i="4"/>
  <c r="I19" i="9"/>
  <c r="H19" i="9"/>
  <c r="J19" i="4"/>
  <c r="L19" i="4"/>
  <c r="K79" i="9"/>
  <c r="N79" i="9"/>
  <c r="K80" i="9"/>
  <c r="N80" i="9"/>
  <c r="J85" i="9"/>
  <c r="M85" i="9"/>
  <c r="J81" i="9"/>
  <c r="M81" i="9"/>
  <c r="K87" i="9"/>
  <c r="N87" i="9"/>
  <c r="J31" i="4"/>
  <c r="L31" i="4"/>
  <c r="J35" i="4"/>
  <c r="L35" i="4"/>
  <c r="I43" i="9"/>
  <c r="H43" i="9"/>
  <c r="I47" i="9"/>
  <c r="H47" i="9"/>
  <c r="J43" i="4"/>
  <c r="L43" i="4"/>
  <c r="K43" i="4"/>
  <c r="M43" i="4"/>
  <c r="K47" i="4"/>
  <c r="M47" i="4"/>
  <c r="J51" i="4"/>
  <c r="L51" i="4"/>
  <c r="I68" i="9"/>
  <c r="H68" i="9"/>
  <c r="K55" i="4"/>
  <c r="M55" i="4"/>
  <c r="J30" i="4"/>
  <c r="L30" i="4"/>
  <c r="H38" i="9"/>
  <c r="I38" i="9"/>
  <c r="J34" i="4"/>
  <c r="L34" i="4"/>
  <c r="K38" i="4"/>
  <c r="M38" i="4"/>
  <c r="H46" i="9"/>
  <c r="I46" i="9"/>
  <c r="K42" i="4"/>
  <c r="M42" i="4"/>
  <c r="J50" i="4"/>
  <c r="L50" i="4"/>
  <c r="I67" i="9"/>
  <c r="H67" i="9"/>
  <c r="I74" i="9"/>
  <c r="H74" i="9"/>
  <c r="J28" i="4"/>
  <c r="L28" i="4"/>
  <c r="K28" i="4"/>
  <c r="M28" i="4"/>
  <c r="K16" i="4"/>
  <c r="M16" i="4"/>
  <c r="H25" i="9"/>
  <c r="I25" i="9"/>
  <c r="J25" i="4"/>
  <c r="L25" i="4"/>
  <c r="K22" i="4"/>
  <c r="M22" i="4"/>
  <c r="H21" i="9"/>
  <c r="I21" i="9"/>
  <c r="J21" i="4"/>
  <c r="L21" i="4"/>
  <c r="K83" i="9"/>
  <c r="N83" i="9"/>
  <c r="J46" i="4"/>
  <c r="L46" i="4"/>
  <c r="J27" i="4"/>
  <c r="L27" i="4"/>
  <c r="H27" i="9"/>
  <c r="I27" i="9"/>
  <c r="I24" i="9"/>
  <c r="H24" i="9"/>
  <c r="K14" i="4"/>
  <c r="M14" i="4"/>
  <c r="J14" i="4"/>
  <c r="L14" i="4"/>
  <c r="K13" i="4"/>
  <c r="M13" i="4"/>
  <c r="J15" i="4"/>
  <c r="L15" i="4"/>
  <c r="H15" i="9"/>
  <c r="I15" i="9"/>
  <c r="K84" i="9"/>
  <c r="N84" i="9"/>
  <c r="K86" i="9"/>
  <c r="N86" i="9"/>
  <c r="J24" i="9"/>
  <c r="M24" i="9"/>
  <c r="J67" i="9"/>
  <c r="M67" i="9"/>
  <c r="M70" i="9"/>
  <c r="K38" i="9"/>
  <c r="N38" i="9"/>
  <c r="N37" i="9"/>
  <c r="J15" i="9"/>
  <c r="M15" i="9"/>
  <c r="K24" i="9"/>
  <c r="N24" i="9"/>
  <c r="J27" i="9"/>
  <c r="M27" i="9"/>
  <c r="J21" i="9"/>
  <c r="M21" i="9"/>
  <c r="J25" i="9"/>
  <c r="M25" i="9"/>
  <c r="K74" i="9"/>
  <c r="N74" i="9"/>
  <c r="K67" i="9"/>
  <c r="N67" i="9"/>
  <c r="N70" i="9"/>
  <c r="J46" i="9"/>
  <c r="M46" i="9"/>
  <c r="J38" i="9"/>
  <c r="M38" i="9"/>
  <c r="M37" i="9"/>
  <c r="K68" i="9"/>
  <c r="N68" i="9"/>
  <c r="N71" i="9"/>
  <c r="K47" i="9"/>
  <c r="N47" i="9"/>
  <c r="N51" i="9"/>
  <c r="K43" i="9"/>
  <c r="N43" i="9"/>
  <c r="K19" i="9"/>
  <c r="N19" i="9"/>
  <c r="J17" i="9"/>
  <c r="M17" i="9"/>
  <c r="K18" i="9"/>
  <c r="N18" i="9"/>
  <c r="K10" i="9"/>
  <c r="N10" i="9"/>
  <c r="K9" i="9"/>
  <c r="N9" i="9"/>
  <c r="K12" i="9"/>
  <c r="N12" i="9"/>
  <c r="K76" i="9"/>
  <c r="N76" i="9"/>
  <c r="J65" i="9"/>
  <c r="M65" i="9"/>
  <c r="J48" i="9"/>
  <c r="M48" i="9"/>
  <c r="M54" i="9"/>
  <c r="K40" i="9"/>
  <c r="N40" i="9"/>
  <c r="K77" i="9"/>
  <c r="N77" i="9"/>
  <c r="K73" i="9"/>
  <c r="N73" i="9"/>
  <c r="J62" i="9"/>
  <c r="M62" i="9"/>
  <c r="K45" i="9"/>
  <c r="N45" i="9"/>
  <c r="K49" i="9"/>
  <c r="N49" i="9"/>
  <c r="J41" i="9"/>
  <c r="M41" i="9"/>
  <c r="J13" i="9"/>
  <c r="M13" i="9"/>
  <c r="J14" i="9"/>
  <c r="M14" i="9"/>
  <c r="K63" i="9"/>
  <c r="N63" i="9"/>
  <c r="N55" i="9"/>
  <c r="N56" i="9"/>
  <c r="N57" i="9"/>
  <c r="N58" i="9"/>
  <c r="J23" i="4"/>
  <c r="L23" i="4"/>
  <c r="K22" i="9"/>
  <c r="N22" i="9"/>
  <c r="J16" i="9"/>
  <c r="M16" i="9"/>
  <c r="K28" i="9"/>
  <c r="N28" i="9"/>
  <c r="J59" i="9"/>
  <c r="M59" i="9"/>
  <c r="J42" i="9"/>
  <c r="M42" i="9"/>
  <c r="K75" i="9"/>
  <c r="N75" i="9"/>
  <c r="K64" i="9"/>
  <c r="N64" i="9"/>
  <c r="K60" i="9"/>
  <c r="N60" i="9"/>
  <c r="K39" i="9"/>
  <c r="N39" i="9"/>
  <c r="N30" i="9"/>
  <c r="K11" i="9"/>
  <c r="N11" i="9"/>
  <c r="J26" i="9"/>
  <c r="M26" i="9"/>
  <c r="J20" i="9"/>
  <c r="M20" i="9"/>
  <c r="K29" i="9"/>
  <c r="N29" i="9"/>
  <c r="J72" i="9"/>
  <c r="M72" i="9"/>
  <c r="J61" i="9"/>
  <c r="M61" i="9"/>
  <c r="J44" i="9"/>
  <c r="M44" i="9"/>
  <c r="K66" i="9"/>
  <c r="N66" i="9"/>
  <c r="N69" i="9"/>
  <c r="K15" i="9"/>
  <c r="N15" i="9"/>
  <c r="K27" i="9"/>
  <c r="N27" i="9"/>
  <c r="K21" i="9"/>
  <c r="N21" i="9"/>
  <c r="K25" i="9"/>
  <c r="N25" i="9"/>
  <c r="J74" i="9"/>
  <c r="M74" i="9"/>
  <c r="K46" i="9"/>
  <c r="N46" i="9"/>
  <c r="J68" i="9"/>
  <c r="M68" i="9"/>
  <c r="M71" i="9"/>
  <c r="J47" i="9"/>
  <c r="M47" i="9"/>
  <c r="M51" i="9"/>
  <c r="J43" i="9"/>
  <c r="M43" i="9"/>
  <c r="J19" i="9"/>
  <c r="M19" i="9"/>
  <c r="K17" i="9"/>
  <c r="N17" i="9"/>
  <c r="J18" i="9"/>
  <c r="M18" i="9"/>
  <c r="J10" i="9"/>
  <c r="M10" i="9"/>
  <c r="J9" i="9"/>
  <c r="M9" i="9"/>
  <c r="J12" i="9"/>
  <c r="M12" i="9"/>
  <c r="J76" i="9"/>
  <c r="M76" i="9"/>
  <c r="K65" i="9"/>
  <c r="N65" i="9"/>
  <c r="K48" i="9"/>
  <c r="N48" i="9"/>
  <c r="N54" i="9"/>
  <c r="J40" i="9"/>
  <c r="M40" i="9"/>
  <c r="J77" i="9"/>
  <c r="M77" i="9"/>
  <c r="J73" i="9"/>
  <c r="M73" i="9"/>
  <c r="K62" i="9"/>
  <c r="N62" i="9"/>
  <c r="J45" i="9"/>
  <c r="M45" i="9"/>
  <c r="J49" i="9"/>
  <c r="M49" i="9"/>
  <c r="K41" i="9"/>
  <c r="N41" i="9"/>
  <c r="K13" i="9"/>
  <c r="N13" i="9"/>
  <c r="K14" i="9"/>
  <c r="N14" i="9"/>
  <c r="J63" i="9"/>
  <c r="M63" i="9"/>
  <c r="M55" i="9"/>
  <c r="M56" i="9"/>
  <c r="M57" i="9"/>
  <c r="M58" i="9"/>
  <c r="K23" i="4"/>
  <c r="M23" i="4"/>
  <c r="I23" i="9"/>
  <c r="H23" i="9"/>
  <c r="J22" i="9"/>
  <c r="M22" i="9"/>
  <c r="K16" i="9"/>
  <c r="N16" i="9"/>
  <c r="J28" i="9"/>
  <c r="M28" i="9"/>
  <c r="K59" i="9"/>
  <c r="K42" i="9"/>
  <c r="N42" i="9"/>
  <c r="J75" i="9"/>
  <c r="M75" i="9"/>
  <c r="J64" i="9"/>
  <c r="M64" i="9"/>
  <c r="J60" i="9"/>
  <c r="M60" i="9"/>
  <c r="J39" i="9"/>
  <c r="M39" i="9"/>
  <c r="M30" i="9"/>
  <c r="J11" i="9"/>
  <c r="M11" i="9"/>
  <c r="K26" i="9"/>
  <c r="N26" i="9"/>
  <c r="K20" i="9"/>
  <c r="N20" i="9"/>
  <c r="J29" i="9"/>
  <c r="M29" i="9"/>
  <c r="K72" i="9"/>
  <c r="N72" i="9"/>
  <c r="K61" i="9"/>
  <c r="N61" i="9"/>
  <c r="K44" i="9"/>
  <c r="N44" i="9"/>
  <c r="J66" i="9"/>
  <c r="M66" i="9"/>
  <c r="M69" i="9"/>
  <c r="M33" i="9"/>
  <c r="M32" i="9"/>
  <c r="M34" i="9"/>
  <c r="M31" i="9"/>
  <c r="M35" i="9"/>
  <c r="M36" i="9"/>
  <c r="J23" i="9"/>
  <c r="M23" i="9"/>
  <c r="M52" i="9"/>
  <c r="M53" i="9"/>
  <c r="N34" i="9"/>
  <c r="N32" i="9"/>
  <c r="N31" i="9"/>
  <c r="N33" i="9"/>
  <c r="N36" i="9"/>
  <c r="N35" i="9"/>
  <c r="N52" i="9"/>
  <c r="N53" i="9"/>
  <c r="N59" i="9"/>
  <c r="K23" i="9"/>
  <c r="N23" i="9"/>
</calcChain>
</file>

<file path=xl/comments1.xml><?xml version="1.0" encoding="utf-8"?>
<comments xmlns="http://schemas.openxmlformats.org/spreadsheetml/2006/main">
  <authors>
    <author>may4</author>
    <author>Mekong Xanh</author>
  </authors>
  <commentList>
    <comment ref="N11" authorId="0">
      <text>
        <r>
          <rPr>
            <sz val="12"/>
            <color indexed="81"/>
            <rFont val="Times New Roman"/>
            <family val="1"/>
          </rPr>
          <t>a = 3.1 * 1</t>
        </r>
      </text>
    </comment>
    <comment ref="N12" authorId="0">
      <text>
        <r>
          <rPr>
            <sz val="12"/>
            <color indexed="81"/>
            <rFont val="Times New Roman"/>
            <family val="1"/>
          </rPr>
          <t>b = 3.1 * 0,5</t>
        </r>
      </text>
    </comment>
    <comment ref="N13" authorId="0">
      <text>
        <r>
          <rPr>
            <sz val="12"/>
            <color indexed="81"/>
            <rFont val="Times New Roman"/>
            <family val="1"/>
          </rPr>
          <t>c = 3.1 * 0,6</t>
        </r>
      </text>
    </comment>
    <comment ref="N14" authorId="0">
      <text>
        <r>
          <rPr>
            <sz val="12"/>
            <color indexed="81"/>
            <rFont val="Times New Roman"/>
            <family val="1"/>
          </rPr>
          <t>d = 3.1 * 0,7</t>
        </r>
      </text>
    </comment>
    <comment ref="N15" authorId="0">
      <text>
        <r>
          <rPr>
            <sz val="12"/>
            <color indexed="81"/>
            <rFont val="Times New Roman"/>
            <family val="1"/>
          </rPr>
          <t>đ = 3.1 * 0,5</t>
        </r>
      </text>
    </comment>
    <comment ref="J20" authorId="1">
      <text>
        <r>
          <rPr>
            <b/>
            <sz val="9"/>
            <color indexed="81"/>
            <rFont val="Tahoma"/>
            <family val="2"/>
          </rPr>
          <t>Mekong Xanh:</t>
        </r>
        <r>
          <rPr>
            <sz val="9"/>
            <color indexed="81"/>
            <rFont val="Tahoma"/>
            <family val="2"/>
          </rPr>
          <t xml:space="preserve">
=1250-58: anh bổ sung dùm em: thuyết minh thêm lý do giảm định mức tại bước ngoại nghiệp nha! Vì Sở còn gửi Sở tài chính thẩm định nữa</t>
        </r>
      </text>
    </comment>
    <comment ref="N53" authorId="0">
      <text>
        <r>
          <rPr>
            <sz val="12"/>
            <color indexed="81"/>
            <rFont val="Times New Roman"/>
            <family val="1"/>
          </rPr>
          <t>a = 4.2 * 1</t>
        </r>
        <r>
          <rPr>
            <sz val="9"/>
            <color indexed="81"/>
            <rFont val="Tahoma"/>
            <family val="2"/>
          </rPr>
          <t xml:space="preserve">
</t>
        </r>
      </text>
    </comment>
    <comment ref="N54" authorId="0">
      <text>
        <r>
          <rPr>
            <sz val="12"/>
            <color indexed="81"/>
            <rFont val="Times New Roman"/>
            <family val="1"/>
          </rPr>
          <t>b = 4.2 * 0,8</t>
        </r>
      </text>
    </comment>
    <comment ref="N55" authorId="0">
      <text>
        <r>
          <rPr>
            <sz val="12"/>
            <color indexed="81"/>
            <rFont val="Times New Roman"/>
            <family val="1"/>
          </rPr>
          <t xml:space="preserve">c = 4.2 * 0,6
</t>
        </r>
      </text>
    </comment>
    <comment ref="N56" authorId="0">
      <text>
        <r>
          <rPr>
            <sz val="12"/>
            <color indexed="81"/>
            <rFont val="Times New Roman"/>
            <family val="1"/>
          </rPr>
          <t>d = 4.2 * 0,4</t>
        </r>
      </text>
    </comment>
    <comment ref="N57" authorId="0">
      <text>
        <r>
          <rPr>
            <sz val="12"/>
            <color indexed="81"/>
            <rFont val="Times New Roman"/>
            <family val="1"/>
          </rPr>
          <t>đ = 4.2 * 0,4</t>
        </r>
        <r>
          <rPr>
            <sz val="9"/>
            <color indexed="81"/>
            <rFont val="Tahoma"/>
            <family val="2"/>
          </rPr>
          <t xml:space="preserve">
</t>
        </r>
      </text>
    </comment>
  </commentList>
</comments>
</file>

<file path=xl/comments2.xml><?xml version="1.0" encoding="utf-8"?>
<comments xmlns="http://schemas.openxmlformats.org/spreadsheetml/2006/main">
  <authors>
    <author>Admin</author>
  </authors>
  <commentList>
    <comment ref="E31" authorId="0">
      <text>
        <r>
          <rPr>
            <b/>
            <sz val="9"/>
            <color indexed="81"/>
            <rFont val="Tahoma"/>
            <family val="2"/>
          </rPr>
          <t>Admin:</t>
        </r>
        <r>
          <rPr>
            <sz val="9"/>
            <color indexed="81"/>
            <rFont val="Tahoma"/>
            <family val="2"/>
          </rPr>
          <t xml:space="preserve">
</t>
        </r>
        <r>
          <rPr>
            <sz val="12"/>
            <color indexed="81"/>
            <rFont val="Times New Roman"/>
            <family val="1"/>
          </rPr>
          <t>a=2.1.1*1</t>
        </r>
      </text>
    </comment>
    <comment ref="E32" authorId="0">
      <text>
        <r>
          <rPr>
            <b/>
            <sz val="9"/>
            <color indexed="81"/>
            <rFont val="Tahoma"/>
            <family val="2"/>
          </rPr>
          <t>Admin:</t>
        </r>
        <r>
          <rPr>
            <sz val="9"/>
            <color indexed="81"/>
            <rFont val="Tahoma"/>
            <family val="2"/>
          </rPr>
          <t xml:space="preserve">
</t>
        </r>
        <r>
          <rPr>
            <sz val="12"/>
            <color indexed="81"/>
            <rFont val="Tahoma"/>
            <family val="2"/>
          </rPr>
          <t>b = 2.1.1*0,5</t>
        </r>
      </text>
    </comment>
    <comment ref="E33" authorId="0">
      <text>
        <r>
          <rPr>
            <b/>
            <sz val="9"/>
            <color indexed="81"/>
            <rFont val="Tahoma"/>
            <family val="2"/>
          </rPr>
          <t>Admin:</t>
        </r>
        <r>
          <rPr>
            <sz val="9"/>
            <color indexed="81"/>
            <rFont val="Tahoma"/>
            <family val="2"/>
          </rPr>
          <t xml:space="preserve">
</t>
        </r>
        <r>
          <rPr>
            <sz val="12"/>
            <color indexed="81"/>
            <rFont val="Times New Roman"/>
            <family val="1"/>
          </rPr>
          <t>c=2.1.1*0,6</t>
        </r>
      </text>
    </comment>
    <comment ref="E34" authorId="0">
      <text>
        <r>
          <rPr>
            <b/>
            <sz val="9"/>
            <color indexed="81"/>
            <rFont val="Tahoma"/>
            <family val="2"/>
          </rPr>
          <t>Admin:</t>
        </r>
        <r>
          <rPr>
            <sz val="9"/>
            <color indexed="81"/>
            <rFont val="Tahoma"/>
            <family val="2"/>
          </rPr>
          <t xml:space="preserve">
</t>
        </r>
        <r>
          <rPr>
            <sz val="12"/>
            <color indexed="81"/>
            <rFont val="Times New Roman"/>
            <family val="1"/>
          </rPr>
          <t>d=2.1.1*0,7</t>
        </r>
      </text>
    </comment>
    <comment ref="E35" authorId="0">
      <text>
        <r>
          <rPr>
            <b/>
            <sz val="9"/>
            <color indexed="81"/>
            <rFont val="Tahoma"/>
            <family val="2"/>
          </rPr>
          <t xml:space="preserve">Admin: 
</t>
        </r>
        <r>
          <rPr>
            <sz val="12"/>
            <color indexed="81"/>
            <rFont val="Times New Roman"/>
            <family val="1"/>
          </rPr>
          <t>đ = 2.1.1*0,5</t>
        </r>
      </text>
    </comment>
  </commentList>
</comments>
</file>

<file path=xl/comments3.xml><?xml version="1.0" encoding="utf-8"?>
<comments xmlns="http://schemas.openxmlformats.org/spreadsheetml/2006/main">
  <authors>
    <author>Admin</author>
  </authors>
  <commentList>
    <comment ref="E51" authorId="0">
      <text>
        <r>
          <rPr>
            <b/>
            <sz val="9"/>
            <color indexed="81"/>
            <rFont val="Tahoma"/>
            <family val="2"/>
          </rPr>
          <t>Admin:</t>
        </r>
        <r>
          <rPr>
            <sz val="9"/>
            <color indexed="81"/>
            <rFont val="Tahoma"/>
            <family val="2"/>
          </rPr>
          <t xml:space="preserve">
</t>
        </r>
        <r>
          <rPr>
            <sz val="12"/>
            <color indexed="81"/>
            <rFont val="Times New Roman"/>
            <family val="1"/>
          </rPr>
          <t>a = (2)*1</t>
        </r>
      </text>
    </comment>
    <comment ref="E52" authorId="0">
      <text>
        <r>
          <rPr>
            <b/>
            <sz val="9"/>
            <color indexed="81"/>
            <rFont val="Tahoma"/>
            <family val="2"/>
          </rPr>
          <t>Admin:</t>
        </r>
        <r>
          <rPr>
            <sz val="9"/>
            <color indexed="81"/>
            <rFont val="Tahoma"/>
            <family val="2"/>
          </rPr>
          <t xml:space="preserve">
</t>
        </r>
        <r>
          <rPr>
            <sz val="12"/>
            <color indexed="81"/>
            <rFont val="Times New Roman"/>
            <family val="1"/>
          </rPr>
          <t>b = (2) * 0,8</t>
        </r>
      </text>
    </comment>
    <comment ref="E53" authorId="0">
      <text>
        <r>
          <rPr>
            <b/>
            <sz val="9"/>
            <color indexed="81"/>
            <rFont val="Tahoma"/>
            <family val="2"/>
          </rPr>
          <t>Admin:</t>
        </r>
        <r>
          <rPr>
            <sz val="9"/>
            <color indexed="81"/>
            <rFont val="Tahoma"/>
            <family val="2"/>
          </rPr>
          <t xml:space="preserve">
</t>
        </r>
        <r>
          <rPr>
            <sz val="12"/>
            <color indexed="81"/>
            <rFont val="Times New Roman"/>
            <family val="1"/>
          </rPr>
          <t>c = (2) * 0,6</t>
        </r>
      </text>
    </comment>
    <comment ref="E54" authorId="0">
      <text>
        <r>
          <rPr>
            <b/>
            <sz val="9"/>
            <color indexed="81"/>
            <rFont val="Tahoma"/>
            <family val="2"/>
          </rPr>
          <t>Admin:</t>
        </r>
        <r>
          <rPr>
            <sz val="9"/>
            <color indexed="81"/>
            <rFont val="Tahoma"/>
            <family val="2"/>
          </rPr>
          <t xml:space="preserve">
</t>
        </r>
        <r>
          <rPr>
            <sz val="12"/>
            <color indexed="81"/>
            <rFont val="Times New Roman"/>
            <family val="1"/>
          </rPr>
          <t>d = (2) * 0,4</t>
        </r>
      </text>
    </comment>
    <comment ref="E55" authorId="0">
      <text>
        <r>
          <rPr>
            <b/>
            <sz val="9"/>
            <color indexed="81"/>
            <rFont val="Tahoma"/>
            <family val="2"/>
          </rPr>
          <t>Admin:</t>
        </r>
        <r>
          <rPr>
            <sz val="9"/>
            <color indexed="81"/>
            <rFont val="Tahoma"/>
            <family val="2"/>
          </rPr>
          <t xml:space="preserve">
</t>
        </r>
        <r>
          <rPr>
            <sz val="12"/>
            <color indexed="81"/>
            <rFont val="Times New Roman"/>
            <family val="1"/>
          </rPr>
          <t>đ = (2) * 0,4</t>
        </r>
      </text>
    </comment>
  </commentList>
</comments>
</file>

<file path=xl/sharedStrings.xml><?xml version="1.0" encoding="utf-8"?>
<sst xmlns="http://schemas.openxmlformats.org/spreadsheetml/2006/main" count="1990" uniqueCount="411">
  <si>
    <t>Bảng 01</t>
  </si>
  <si>
    <t>đồng</t>
  </si>
  <si>
    <t>Số
TT</t>
  </si>
  <si>
    <t>Chức danh</t>
  </si>
  <si>
    <t>Lương
cấp bậc</t>
  </si>
  <si>
    <t xml:space="preserve">Lương ngày </t>
  </si>
  <si>
    <t>Ngoại nghiệp</t>
  </si>
  <si>
    <t>(1)</t>
  </si>
  <si>
    <t>(2)</t>
  </si>
  <si>
    <t>(3)</t>
  </si>
  <si>
    <t xml:space="preserve"> KS4</t>
  </si>
  <si>
    <t xml:space="preserve"> KS3</t>
  </si>
  <si>
    <t xml:space="preserve"> KS2</t>
  </si>
  <si>
    <t xml:space="preserve"> KS1</t>
  </si>
  <si>
    <t>BHXH (17,5%), 
YT (3%), CĐ (2%), BHTN (1%)</t>
  </si>
  <si>
    <t>Nội dung công việc</t>
  </si>
  <si>
    <t>Định biên lao động</t>
  </si>
  <si>
    <t>Đơn giá công nhóm
(đ/công nhóm)</t>
  </si>
  <si>
    <t>Chi phí nhân công (đồng)</t>
  </si>
  <si>
    <t>Nhóm</t>
  </si>
  <si>
    <t>KS3</t>
  </si>
  <si>
    <t>(4)</t>
  </si>
  <si>
    <t>(6)</t>
  </si>
  <si>
    <t>(7)</t>
  </si>
  <si>
    <t>(8)</t>
  </si>
  <si>
    <t>(9)</t>
  </si>
  <si>
    <t>(10)</t>
  </si>
  <si>
    <t>(12)</t>
  </si>
  <si>
    <t>(15)=(10)x(12)</t>
  </si>
  <si>
    <t>Đơn giá lương ngày</t>
  </si>
  <si>
    <t>1.1</t>
  </si>
  <si>
    <t>1.2</t>
  </si>
  <si>
    <t>2.1</t>
  </si>
  <si>
    <t>2.2</t>
  </si>
  <si>
    <t>2.3</t>
  </si>
  <si>
    <t>2.4</t>
  </si>
  <si>
    <t>2.5</t>
  </si>
  <si>
    <t>(16)=(11)x(13)</t>
  </si>
  <si>
    <t>KS2</t>
  </si>
  <si>
    <t>KS4</t>
  </si>
  <si>
    <t>3.1</t>
  </si>
  <si>
    <t>3.2</t>
  </si>
  <si>
    <t>4.1</t>
  </si>
  <si>
    <t>4.2</t>
  </si>
  <si>
    <t>B. ĐỊNH MỨC VẬT TƯ VÀ THIẾT BỊ</t>
  </si>
  <si>
    <t>Định mức dụng cụ</t>
  </si>
  <si>
    <t>STT</t>
  </si>
  <si>
    <t>Dụng cụ</t>
  </si>
  <si>
    <t>Đơn vị
tính</t>
  </si>
  <si>
    <t>Đơn giá
công cụ
dụng cụ
(đồng)</t>
  </si>
  <si>
    <t>Đơn giá hao mòn dụng cụ theo ca (đ/ca)</t>
  </si>
  <si>
    <t>Chi phí
công cụ,
dụng cụ
(đồng)</t>
  </si>
  <si>
    <t>(5)</t>
  </si>
  <si>
    <t>(9)=(10)+(11)</t>
  </si>
  <si>
    <t>Bàn làm việc</t>
  </si>
  <si>
    <t>Cái</t>
  </si>
  <si>
    <t>Cặp đựng tài liệu</t>
  </si>
  <si>
    <t>Điện năng</t>
  </si>
  <si>
    <t xml:space="preserve"> B. ĐỊNH MỨC VẬT TƯ VÀ THIẾT BỊ</t>
  </si>
  <si>
    <t>Tủ để tài liệu</t>
  </si>
  <si>
    <t>Bàn dập ghim</t>
  </si>
  <si>
    <t>Quạt thông gió 0,04 kW</t>
  </si>
  <si>
    <t>Đèn neon 0,04 kW</t>
  </si>
  <si>
    <t>Quạt trần 0,1 kW</t>
  </si>
  <si>
    <t>kW</t>
  </si>
  <si>
    <t>Tổng cộng</t>
  </si>
  <si>
    <t>2.</t>
  </si>
  <si>
    <t xml:space="preserve">Thiết bị </t>
  </si>
  <si>
    <t>Thiết bị</t>
  </si>
  <si>
    <t>Định mức
(ca/tỉnh trung bình)</t>
  </si>
  <si>
    <t>Mức khấu hao
một ca máy (đ/ca)</t>
  </si>
  <si>
    <t>Chi phí khấu hao (đồng)</t>
  </si>
  <si>
    <t>Máy vi tính</t>
  </si>
  <si>
    <t>Kw</t>
  </si>
  <si>
    <t>Ghi chú: - Số ca máy sử dụng một năm:</t>
  </si>
  <si>
    <t>Máy chiếu (slide)</t>
  </si>
  <si>
    <t xml:space="preserve"> + Thiết bị nội nghiệp: 500 ca</t>
  </si>
  <si>
    <t>Vật liệu</t>
  </si>
  <si>
    <t>Chi phí vật liệu (đồng)</t>
  </si>
  <si>
    <t>Bút xóa</t>
  </si>
  <si>
    <t>Bút nhớ dòng</t>
  </si>
  <si>
    <t>Bút bi</t>
  </si>
  <si>
    <t>Mực phô tô</t>
  </si>
  <si>
    <t>Sổ ghi chép</t>
  </si>
  <si>
    <t>Giấy A4</t>
  </si>
  <si>
    <t>Ghim dập</t>
  </si>
  <si>
    <t>Ghim vòng</t>
  </si>
  <si>
    <t>Túi Ny lông đựng tài liệu</t>
  </si>
  <si>
    <t>Bảng 02</t>
  </si>
  <si>
    <t>Bảng 03</t>
  </si>
  <si>
    <t>Bảng 04</t>
  </si>
  <si>
    <t>Bảng 05</t>
  </si>
  <si>
    <t>Bảng 06</t>
  </si>
  <si>
    <t>Bảng 07</t>
  </si>
  <si>
    <t>Bảng 10</t>
  </si>
  <si>
    <t>Bảng 09</t>
  </si>
  <si>
    <t>(5)=((23,5)x
(4))/100</t>
  </si>
  <si>
    <t>(6)=(4)+(5)</t>
  </si>
  <si>
    <t>Nhóm 1
(1KS3)</t>
  </si>
  <si>
    <t>Xây dựng khung cấu trúc và đề cương chi tiết của báo cáo</t>
  </si>
  <si>
    <t>Thu thập, tổng hợp, xử lý thông tin, số liệu</t>
  </si>
  <si>
    <t>Tổ chức thu thập thông tin</t>
  </si>
  <si>
    <t>Kiểm tra, tổng hợp thông tin</t>
  </si>
  <si>
    <t>Thông tin về động lực</t>
  </si>
  <si>
    <t>Thông tin về sức ép</t>
  </si>
  <si>
    <t>Thông tin về hiện trạng</t>
  </si>
  <si>
    <t>Thông tin tác động</t>
  </si>
  <si>
    <t>Thông tin về đáp ứng</t>
  </si>
  <si>
    <t>Xử lý thông tin</t>
  </si>
  <si>
    <t>Xây dựng dự thảo báo cáo</t>
  </si>
  <si>
    <t>Xây dựng dự thảo báo cáo thành phần</t>
  </si>
  <si>
    <t>Các thách thức về môi trường</t>
  </si>
  <si>
    <t>Xây dựng dự thảo báo cáo hiện trạng môi trường</t>
  </si>
  <si>
    <t>Tham vấn các bên liên quan</t>
  </si>
  <si>
    <t>Tham vấn bằng hình thức trao đổi, làm việc trực tiếp với chuyên gia</t>
  </si>
  <si>
    <t>Trình và phê duyệt báo cáo</t>
  </si>
  <si>
    <t>Cung cấp, công khai báo cáo</t>
  </si>
  <si>
    <t>Cung cấp báo cáo hiện trạng môi trường</t>
  </si>
  <si>
    <t>Công khai báo cáo hiện trạng môi trường</t>
  </si>
  <si>
    <t>Công khai báo cáo bằng hình thức đăng trên cổng thông tin</t>
  </si>
  <si>
    <t>2.2.1</t>
  </si>
  <si>
    <t>2.2.2</t>
  </si>
  <si>
    <t>2.2.3</t>
  </si>
  <si>
    <t>2.2.4</t>
  </si>
  <si>
    <t>2.2.5</t>
  </si>
  <si>
    <t>2.3.1</t>
  </si>
  <si>
    <t>2.3.2</t>
  </si>
  <si>
    <t>2.3.3</t>
  </si>
  <si>
    <t>2.3.5</t>
  </si>
  <si>
    <t>a</t>
  </si>
  <si>
    <t>b</t>
  </si>
  <si>
    <t>c</t>
  </si>
  <si>
    <t>d</t>
  </si>
  <si>
    <t>Nhóm 2
(1KS1 + 1KS2)</t>
  </si>
  <si>
    <t>KS1</t>
  </si>
  <si>
    <t>Nhóm 3
(2KS2 + 1KS4)</t>
  </si>
  <si>
    <t>Nhóm 2
(1KS1 + 1KS3)</t>
  </si>
  <si>
    <t>Nhóm 1
(1KS2)</t>
  </si>
  <si>
    <t>Ghế tựa</t>
  </si>
  <si>
    <t>Chuột máy tính</t>
  </si>
  <si>
    <t>Định mức
(ca/sản phẩm)</t>
  </si>
  <si>
    <t>Chi phí công cụ dụng cụ (đồng)</t>
  </si>
  <si>
    <t>(9)=(5)x(8)</t>
  </si>
  <si>
    <t>Chi phí dụng cụ theo hệ số mức Xây dựng khung cấu trúc và đề cương chi tiết của báo cáo</t>
  </si>
  <si>
    <t>Công việc</t>
  </si>
  <si>
    <t xml:space="preserve">Báo cáo HTMT cấp tỉnh </t>
  </si>
  <si>
    <t>Thành tiền</t>
  </si>
  <si>
    <t>Thẻ nhớ USB loại 2GB</t>
  </si>
  <si>
    <t>Hòm đựng tài liệu</t>
  </si>
  <si>
    <t>Chi phí dụng cụ theo hệ số quy định</t>
  </si>
  <si>
    <t>Thẻ nhớ USB loại 4GB</t>
  </si>
  <si>
    <t>Chi phí dụng cụ theo bước công việc</t>
  </si>
  <si>
    <t>1.4</t>
  </si>
  <si>
    <t>1.3</t>
  </si>
  <si>
    <t>Tham vấn bằng hình thức hội thảo</t>
  </si>
  <si>
    <t>1.5</t>
  </si>
  <si>
    <t>Trình, phê duyệt báo cáo</t>
  </si>
  <si>
    <t>Cung cấp báo cáo</t>
  </si>
  <si>
    <t>Công khai báo cáo</t>
  </si>
  <si>
    <t>Công khai báo cáo bằng hình thức đăng tải trên cổng thông tin</t>
  </si>
  <si>
    <t>Cung cấp, công khai báo cáo hiện trạng môi trường</t>
  </si>
  <si>
    <t>TT</t>
  </si>
  <si>
    <t>3.3</t>
  </si>
  <si>
    <t>3.4</t>
  </si>
  <si>
    <t>3.5</t>
  </si>
  <si>
    <t>1.1.1</t>
  </si>
  <si>
    <t>1.1.2</t>
  </si>
  <si>
    <t>1.2.1</t>
  </si>
  <si>
    <t>1.2.2</t>
  </si>
  <si>
    <t>1.2.3</t>
  </si>
  <si>
    <t>1.2.4</t>
  </si>
  <si>
    <t>1.3.1</t>
  </si>
  <si>
    <t>1.3.2</t>
  </si>
  <si>
    <t>1.3.3</t>
  </si>
  <si>
    <t>1.6</t>
  </si>
  <si>
    <t>Điều hòa nhiệt độ 12.000 BTU</t>
  </si>
  <si>
    <t>Máy photocopy</t>
  </si>
  <si>
    <t>Máy in A4</t>
  </si>
  <si>
    <t>Ổ ghi đĩa DVD</t>
  </si>
  <si>
    <t>Công suất (kW)</t>
  </si>
  <si>
    <t>Thời hạn sử dụng (năm)</t>
  </si>
  <si>
    <t>Định mức
(ca/đơn vị sản phẩm)</t>
  </si>
  <si>
    <t>(8)=(7)/
(500x(5))</t>
  </si>
  <si>
    <t>(9)=((6)x(8))</t>
  </si>
  <si>
    <t>(8)=(7)/(500x(5))</t>
  </si>
  <si>
    <t>Chi phí thiết bị từng bước theo hệ số quy định</t>
  </si>
  <si>
    <t>Chi phí thiết bị theo hệ số mức Xây dựng khung cấu trúc và đề cương chi tiết của báo cáo</t>
  </si>
  <si>
    <t>Kẹp sắt</t>
  </si>
  <si>
    <t>Mực in A4 Laser</t>
  </si>
  <si>
    <t>(6)=(4)x(5)</t>
  </si>
  <si>
    <t>ram</t>
  </si>
  <si>
    <t>cái</t>
  </si>
  <si>
    <t>hộp</t>
  </si>
  <si>
    <t>chiếc</t>
  </si>
  <si>
    <t>quyển</t>
  </si>
  <si>
    <t>Băng dính màu 5 cm</t>
  </si>
  <si>
    <t>Băng dính trắng 1 cm</t>
  </si>
  <si>
    <t>cuộn</t>
  </si>
  <si>
    <t>Chi phí vật liệu từng bước theo hệ số quy định</t>
  </si>
  <si>
    <t>Bìa màu</t>
  </si>
  <si>
    <t>Đĩa DVD</t>
  </si>
  <si>
    <t>Băng dính trắng 5 cm</t>
  </si>
  <si>
    <t>(8)=(7)/((4)*26)</t>
  </si>
  <si>
    <t>Chi phí trực tiếp</t>
  </si>
  <si>
    <t>Bảng 08</t>
  </si>
  <si>
    <t>Bảng 11</t>
  </si>
  <si>
    <t>Bảng 12</t>
  </si>
  <si>
    <t>Bảng 13</t>
  </si>
  <si>
    <t>Bảng 14</t>
  </si>
  <si>
    <t>Bảng 15</t>
  </si>
  <si>
    <t>Bảng 16</t>
  </si>
  <si>
    <t>Bảng 17</t>
  </si>
  <si>
    <t>Bảng 18</t>
  </si>
  <si>
    <t>Bảng 19</t>
  </si>
  <si>
    <t>Bảng 20</t>
  </si>
  <si>
    <t>Bảng 21</t>
  </si>
  <si>
    <t>Bảng 22</t>
  </si>
  <si>
    <t>(7)=(6)/((4)*26)</t>
  </si>
  <si>
    <t>(8)=(5)x(7)</t>
  </si>
  <si>
    <t>(7)=(6)/((4)x26)</t>
  </si>
  <si>
    <t>Số TT</t>
  </si>
  <si>
    <t>Hệ số lương</t>
  </si>
  <si>
    <t>Lương tháng</t>
  </si>
  <si>
    <t>(4)=(3)x1.490.000</t>
  </si>
  <si>
    <t>(7)=(6)/26</t>
  </si>
  <si>
    <t>Qua tổ chức hội thảo</t>
  </si>
  <si>
    <t>Tại đơn vị triển khai</t>
  </si>
  <si>
    <t>Bằng hình thức gửi văn bản</t>
  </si>
  <si>
    <t>Tổ chức đi điều tra, khảo sát</t>
  </si>
  <si>
    <t>Đặt hàng các chuyên gia</t>
  </si>
  <si>
    <t>đ</t>
  </si>
  <si>
    <t>Công khai bằng hình thức tổ chức lễ công bố báo cáo</t>
  </si>
  <si>
    <t>Khấu hao</t>
  </si>
  <si>
    <t>Năng lượng</t>
  </si>
  <si>
    <t>Công khai báo cáo bằng hình thức tổ chức lễ công bố báo cáo</t>
  </si>
  <si>
    <t>Tham vấn bằng hình thức gửi văn bản</t>
  </si>
  <si>
    <t>Lần 1</t>
  </si>
  <si>
    <t>Lần 2</t>
  </si>
  <si>
    <t>Lần 3</t>
  </si>
  <si>
    <t>Lần 4</t>
  </si>
  <si>
    <t>Lần 5</t>
  </si>
  <si>
    <t xml:space="preserve">Tổ chức thu thập thông tin </t>
  </si>
  <si>
    <t>ĐVT: đồng</t>
  </si>
  <si>
    <t>Chi phí chung (20%)</t>
  </si>
  <si>
    <t xml:space="preserve">Chi phí lao động kỹ thuật </t>
  </si>
  <si>
    <t xml:space="preserve">Chi phí vật liệu </t>
  </si>
  <si>
    <t xml:space="preserve">Chi phí dụng cụ </t>
  </si>
  <si>
    <t>Chi phí thiết bị</t>
  </si>
  <si>
    <t>A</t>
  </si>
  <si>
    <t>B</t>
  </si>
  <si>
    <t>Đơn vị tính</t>
  </si>
  <si>
    <t xml:space="preserve">Chi phí lao động kỹ thuật  </t>
  </si>
  <si>
    <t xml:space="preserve">Tổng chi phí trực tiếp    </t>
  </si>
  <si>
    <t>Niên hạn
sử dụng
(tháng)</t>
  </si>
  <si>
    <t xml:space="preserve">   1. ĐỊNH MỨC LAO ĐỘNG KĨ THUẬT</t>
  </si>
  <si>
    <t xml:space="preserve"> 2. ĐỊNH MỨC VẬT TƯ VÀ THIẾT BỊ</t>
  </si>
  <si>
    <t>2.1.1</t>
  </si>
  <si>
    <t>2.1.2</t>
  </si>
  <si>
    <t>2.1.3</t>
  </si>
  <si>
    <t>2.1.4</t>
  </si>
  <si>
    <t>2. ĐỊNH MỨC VẬT TƯ VÀ THIẾT BỊ</t>
  </si>
  <si>
    <t>2.1.5</t>
  </si>
  <si>
    <t>2.1.6</t>
  </si>
  <si>
    <t>2.2.6</t>
  </si>
  <si>
    <t>2.3.6</t>
  </si>
  <si>
    <t>2.1.7</t>
  </si>
  <si>
    <t>5.1</t>
  </si>
  <si>
    <t>5.2</t>
  </si>
  <si>
    <t>Tổng định mức</t>
  </si>
  <si>
    <t>Hệ số điều chỉnh cho hình thức báo cáo</t>
  </si>
  <si>
    <t>Hệ số điều chỉnh cho khu vực báo cáo</t>
  </si>
  <si>
    <t>(11)</t>
  </si>
  <si>
    <t>(13) = (11) * (12)</t>
  </si>
  <si>
    <t>(14)=(9)*(10)*(13)</t>
  </si>
  <si>
    <t>Định mức
lao động kỹ thuật</t>
  </si>
  <si>
    <t>(10)=(6)*(7)</t>
  </si>
  <si>
    <t>Chi phí năng lượng (đồng)</t>
  </si>
  <si>
    <t>Chi phí năng lượng       (đồng)</t>
  </si>
  <si>
    <t>Đơn giá thiết bị
(đồng)</t>
  </si>
  <si>
    <t>Hệ số theo hình thức báo cáo</t>
  </si>
  <si>
    <t>Hệ số điều chỉnh theo hình thức báo cáo</t>
  </si>
  <si>
    <t>Đơn giá vật liệu
(đồng)</t>
  </si>
  <si>
    <t>3.2.1</t>
  </si>
  <si>
    <t>3.2.2</t>
  </si>
  <si>
    <t>5% dụng cụ nhỏ, phụ</t>
  </si>
  <si>
    <t>Tổng chi phí dụng cụ</t>
  </si>
  <si>
    <t xml:space="preserve"> 8% vật liệu phụ, vụn vặt</t>
  </si>
  <si>
    <t>Tổng chi phí vật liệu</t>
  </si>
  <si>
    <t>8% vật liệu phụ, vụn vặt</t>
  </si>
  <si>
    <t xml:space="preserve">Tổng chi phí vật liệu </t>
  </si>
  <si>
    <t>(8)=(7)/ (500x(5))</t>
  </si>
  <si>
    <t>Đơn giá công cụ
dụng cụ
(đồng)</t>
  </si>
  <si>
    <t>Đơn giá
công cụ dụng cụ
(đồng)</t>
  </si>
  <si>
    <t>Niên hạn      sử dụng
(tháng)</t>
  </si>
  <si>
    <t>Chi phí vật liệu       (đồng)</t>
  </si>
  <si>
    <t>Chi phí vật liệu        (đồng)</t>
  </si>
  <si>
    <t>Đề xuất, trình phê duyệt chủ đề của báo cáo</t>
  </si>
  <si>
    <t>Băng dính 1 cm</t>
  </si>
  <si>
    <t>Đề xuất, trình phê duyệt chủ đề</t>
  </si>
  <si>
    <t>3.2.3</t>
  </si>
  <si>
    <t>3.2.4</t>
  </si>
  <si>
    <t>3.2.5</t>
  </si>
  <si>
    <t>3.3.1</t>
  </si>
  <si>
    <t>3.3.2</t>
  </si>
  <si>
    <t>3.3.3</t>
  </si>
  <si>
    <t>3.3.4</t>
  </si>
  <si>
    <t>4.1.1</t>
  </si>
  <si>
    <t>Tổng quan về vấn đề môi trường (chủ đề môi trường được lựa chọn)</t>
  </si>
  <si>
    <t>Đặc điểm tự nhiên</t>
  </si>
  <si>
    <t>Phát triển kinh tế - xã hội</t>
  </si>
  <si>
    <t>4.1.2</t>
  </si>
  <si>
    <t>Sức ép ô nhiễm môi trường</t>
  </si>
  <si>
    <t>Thải lượng các chất gây ô nhiễm</t>
  </si>
  <si>
    <t>Nguyên nhân trực tiếp của vấn đề (sức ép) và các động lực chính</t>
  </si>
  <si>
    <t>So sánh sự phát thải của các chất gây ô nhiễm</t>
  </si>
  <si>
    <t>So sánh diễn biến các nguồn gây ô nhiễm</t>
  </si>
  <si>
    <t>4.1.4</t>
  </si>
  <si>
    <t>Tác động của ô nhiễm môi trường</t>
  </si>
  <si>
    <t>Sức khỏe con người thể hiện qua các bệnh liên quan đến ô nhiễm môi trường</t>
  </si>
  <si>
    <t>Cảnh quan và hệ sinh thái</t>
  </si>
  <si>
    <t>4.1.3</t>
  </si>
  <si>
    <t>Hiện trạng môi trường của chủ đề môi trường lựa chọn</t>
  </si>
  <si>
    <t>Diễn biến (xu hướng) của những thông số đặc trưng</t>
  </si>
  <si>
    <t>So sánh giá trị các thông số với quy chuẩn kỹ thuật về môi trường</t>
  </si>
  <si>
    <t>Đánh giá mức độ ô nhiễm theo không gian và thời gian</t>
  </si>
  <si>
    <t>4.1.5</t>
  </si>
  <si>
    <t>Thực trạng quản lý môi trường</t>
  </si>
  <si>
    <t>Những thành công</t>
  </si>
  <si>
    <t>Những tồn tại, thách thức</t>
  </si>
  <si>
    <t>4.1.6</t>
  </si>
  <si>
    <t>Các thách thức trong BVMT, phương hướng và giải pháp BVMT</t>
  </si>
  <si>
    <t>Phương hướng và giải pháp bảo vệ môi trường</t>
  </si>
  <si>
    <t>Tham vấn bằng hình thức tổ chức Hội thảo</t>
  </si>
  <si>
    <t>5.3</t>
  </si>
  <si>
    <t>7.1</t>
  </si>
  <si>
    <t>7.2</t>
  </si>
  <si>
    <t>7.2.1</t>
  </si>
  <si>
    <t>Công khai bằng hình thức đăng trên cổng thông tin</t>
  </si>
  <si>
    <t>7.2.2</t>
  </si>
  <si>
    <t>Đề xuất, trình phê duyệt chủ đề báo cáo chuyên đề về môi trường</t>
  </si>
  <si>
    <t>1.4.1</t>
  </si>
  <si>
    <t>1.4.2</t>
  </si>
  <si>
    <t>1.4.3</t>
  </si>
  <si>
    <t>1.5.1</t>
  </si>
  <si>
    <t>1.5.2</t>
  </si>
  <si>
    <t>Các thách thức trong bảo vệ môi trường, phương hướng và giải pháp bảo vệ môi trường</t>
  </si>
  <si>
    <t>1.6.1</t>
  </si>
  <si>
    <t>1.6.2</t>
  </si>
  <si>
    <t xml:space="preserve">  LẬP BÁO CÁO CHUYÊN ĐỀ VỀ MÔI TRƯỜNG CẤP TỈNH</t>
  </si>
  <si>
    <t>LẬP BÁO CÁO CHUYÊN ĐỀ VỀ MÔI TRƯỜNG CẤP TỈNH</t>
  </si>
  <si>
    <t xml:space="preserve"> LẬP BÁO CÁO CHUYÊN ĐỀ VỀ MÔI TRƯỜNG CẤP TỈNH</t>
  </si>
  <si>
    <t>Chi phí thiết bị theo hệ số mức Đề xuất, trình phê duyệt chủ đề của báo cáo</t>
  </si>
  <si>
    <t>Thẻ nhớ USB loại 2Gb</t>
  </si>
  <si>
    <t>2.2.7</t>
  </si>
  <si>
    <t>Công bố, công khai báo cáo</t>
  </si>
  <si>
    <t>Chi phí vật liệu
(đồng)</t>
  </si>
  <si>
    <t>2.3.7</t>
  </si>
  <si>
    <t>3. Cơ cấu sử dụng mức lao động kỹ thuật, dụng cụ, thiết bị, vật liệu theo nội dung công việc lập báo cáo chuyên đề về môi trường cấp tỉnh được xác định theo bảng sau:</t>
  </si>
  <si>
    <t>(7) = (1) + (2) + (3) + (4) + (5)</t>
  </si>
  <si>
    <t>(8) = (6) * 20%</t>
  </si>
  <si>
    <t>(9) = (7) * 20%</t>
  </si>
  <si>
    <t>(10) = (6) +(8)</t>
  </si>
  <si>
    <t>(11)=(7)+(9)</t>
  </si>
  <si>
    <t>(6) = (1) + (2) + (4) + (5)</t>
  </si>
  <si>
    <t>4. Đơn giá lập báo cáo chuyên đề về môi trường cấp tỉnh</t>
  </si>
  <si>
    <t>Không có chi phí khấu hao</t>
  </si>
  <si>
    <t>Có chi phí  khấu hao</t>
  </si>
  <si>
    <t>Đơn giá</t>
  </si>
  <si>
    <t>Có chi phí khấu hao</t>
  </si>
  <si>
    <t>Mở đầu</t>
  </si>
  <si>
    <t>Giới thiệu chung về nhiệm vụ</t>
  </si>
  <si>
    <t>Tổng quan địa điểm, thông số, tần suất quan trắc</t>
  </si>
  <si>
    <t>Giới thiệu sơ lược phạm vi thực hiện của nhiệm vụ</t>
  </si>
  <si>
    <t>Đơn vị tham gia phối hợp</t>
  </si>
  <si>
    <t>Vị trí quan trắc</t>
  </si>
  <si>
    <t>Thời gian thực hiện chương trình quan trắc</t>
  </si>
  <si>
    <t>Giới thiệu chung về tần suất quan trắc, thời gian cụ thể tiến hành quan trắc của từng đợt trong năm</t>
  </si>
  <si>
    <t>Nhận xét và đánh giá kết quả quan trắc</t>
  </si>
  <si>
    <t>Tính toán chỉ số chất lượng nước (WQI). So sánh, đánh giá, nhận xét các kết quả WQI giữa các điểm và giữa các đợt trong năm và so sánh với năm trước</t>
  </si>
  <si>
    <t>Đánh giá việc thực hiện công tác QA/QC theo quy định và xử lý, thống kê số liệu quan trắc môi trường</t>
  </si>
  <si>
    <t>Kết quả QA/QC hiện trường</t>
  </si>
  <si>
    <t>Kết quả QA/QC trong phòng thí nghiệm</t>
  </si>
  <si>
    <t>Xử lý số số liệu quan trắc môi trường</t>
  </si>
  <si>
    <t>4.1.7</t>
  </si>
  <si>
    <t>Kết luận và kiến nghị</t>
  </si>
  <si>
    <t>Kết luận</t>
  </si>
  <si>
    <t>Kiến nghị</t>
  </si>
  <si>
    <t>Phòng chuyên môn đề xuất thêm vào, tương đương mục 4.1.6</t>
  </si>
  <si>
    <t>Phòng chuyên môn đề xuất thêm vào, tương đương mục 4.1.3.b</t>
  </si>
  <si>
    <t>Phòng chuyên môn đề xuất thêm vào, tương đương 1/2 của mục 4.1.3.c</t>
  </si>
  <si>
    <t>Phòng chuyên môn đề xuất thêm vào, tương đương mục 4.1.1.a</t>
  </si>
  <si>
    <t>Phòng chuyên môn đề xuất thêm vào, tương đương mục 4.1.1</t>
  </si>
  <si>
    <t>Ghi chú</t>
  </si>
  <si>
    <t>So sánh với các kết quả quan trắc của các năm trước và giữa các đợt quan trắc khác trong năm nhằm đánh giá diễn biến chất lượng của từng thành phần môi trường theo thời gian</t>
  </si>
  <si>
    <t>Vẽ biểu đồ và nhận xét sơ bộ chất lượng môi trường theo không gian từng thành phần môi trường</t>
  </si>
  <si>
    <t>Đánh giá về số liệu và kết quả quan trắc của các đợt theo từng khu vực và thành phần môi trường trong chương trình quan trắc đã được duyệt so sánh với các QCVN và TCVN hiện hành</t>
  </si>
  <si>
    <t>-</t>
  </si>
  <si>
    <t>Phòng chuyên môn đề xuất thêm vào, tương đương mục 4.1.3.b + 4.1.3.c</t>
  </si>
  <si>
    <t>+</t>
  </si>
  <si>
    <t>C</t>
  </si>
  <si>
    <t>4.1.8</t>
  </si>
  <si>
    <t>4.1.9</t>
  </si>
  <si>
    <t>ĐVT</t>
  </si>
  <si>
    <t>Tập thông tin, số liệu</t>
  </si>
  <si>
    <t>Tờ trình</t>
  </si>
  <si>
    <t>Báo cáo</t>
  </si>
  <si>
    <t>Chuyên đề</t>
  </si>
  <si>
    <t>cuộc</t>
  </si>
  <si>
    <t>lần</t>
  </si>
  <si>
    <t>Phòng chuyên môn đề xuất thêm vào, tương đương 1/3 mục 4.1.6</t>
  </si>
  <si>
    <t>Phòng chuyên môn đề xuất thêm vào, tương đương mục 4.1.8</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</si>
</sst>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43" formatCode="_(* #,##0.00_);_(* \(#,##0.00\);_(* &quot;-&quot;??_);_(@_)"/>
    <numFmt numFmtId="170" formatCode="_-* #,##0.00\ &quot;₫&quot;_-;\-* #,##0.00\ &quot;₫&quot;_-;_-* &quot;-&quot;??\ &quot;₫&quot;_-;_-@_-"/>
    <numFmt numFmtId="172" formatCode="#,##0_ ;[Red]\-#,##0\ "/>
    <numFmt numFmtId="178" formatCode="#,##0.0_);[Red]\(#,##0.0\)"/>
    <numFmt numFmtId="179" formatCode="#,##0.00_ ;[Red]\-#,##0.00\ "/>
    <numFmt numFmtId="180" formatCode="0.00_);[Red]\(0.00\)"/>
    <numFmt numFmtId="181" formatCode="_(* #,##0_);_(* \(#,##0\);_(* &quot;-&quot;??_);_(@_)"/>
    <numFmt numFmtId="182" formatCode="_-* #,##0_-;\-* #,##0_-;_-* &quot;-&quot;_-;_-@_-"/>
    <numFmt numFmtId="184" formatCode="#,##0.00;[Red]#,##0.00"/>
    <numFmt numFmtId="185" formatCode="#,##0;[Red]#,##0"/>
    <numFmt numFmtId="186" formatCode="&quot;\&quot;#,##0.00;[Red]&quot;\&quot;&quot;\&quot;&quot;\&quot;&quot;\&quot;&quot;\&quot;&quot;\&quot;\-#,##0.00"/>
    <numFmt numFmtId="187" formatCode="&quot;\&quot;#,##0;[Red]&quot;\&quot;&quot;\&quot;\-#,##0"/>
    <numFmt numFmtId="188" formatCode="_ &quot;\&quot;* #,##0.00_ ;_ &quot;\&quot;* &quot;\&quot;&quot;\&quot;&quot;\&quot;&quot;\&quot;&quot;\&quot;&quot;\&quot;&quot;\&quot;&quot;\&quot;&quot;\&quot;\-#,##0.00_ ;_ &quot;\&quot;* &quot;-&quot;??_ ;_ @_ "/>
    <numFmt numFmtId="189" formatCode="#,##0\ &quot;$&quot;_);[Red]\(#,##0\ &quot;$&quot;\)"/>
    <numFmt numFmtId="190" formatCode="&quot;$&quot;###,0&quot;.&quot;00_);[Red]\(&quot;$&quot;###,0&quot;.&quot;00\)"/>
    <numFmt numFmtId="191" formatCode="#,##0\ &quot;$&quot;_);\(#,##0\ &quot;$&quot;\)"/>
    <numFmt numFmtId="192" formatCode="&quot;\&quot;#,##0.00;[Red]&quot;\&quot;\-#,##0.00"/>
    <numFmt numFmtId="193" formatCode="&quot;\&quot;#,##0;[Red]&quot;\&quot;\-#,##0"/>
    <numFmt numFmtId="194" formatCode="_-&quot;$&quot;* #,##0_-;\-&quot;$&quot;* #,##0_-;_-&quot;$&quot;* &quot;-&quot;_-;_-@_-"/>
    <numFmt numFmtId="195" formatCode="_-&quot;$&quot;* #,##0.00_-;\-&quot;$&quot;* #,##0.00_-;_-&quot;$&quot;* &quot;-&quot;??_-;_-@_-"/>
    <numFmt numFmtId="196" formatCode="#,##0.0"/>
    <numFmt numFmtId="197" formatCode="#,##0.000"/>
    <numFmt numFmtId="203" formatCode="0.000"/>
    <numFmt numFmtId="204" formatCode="#,##0.000_);[Red]\(#,##0.000\)"/>
    <numFmt numFmtId="206" formatCode="\(0\)"/>
    <numFmt numFmtId="207" formatCode="#,##0.000;[Red]#,##0.000"/>
  </numFmts>
  <fonts count="69">
    <font>
      <sz val="11"/>
      <color theme="1"/>
      <name val="Calibri"/>
      <family val="2"/>
      <scheme val="minor"/>
    </font>
    <font>
      <sz val="10"/>
      <name val="Arial"/>
      <family val="2"/>
    </font>
    <font>
      <b/>
      <sz val="14"/>
      <name val="Times New Roman"/>
      <family val="1"/>
    </font>
    <font>
      <sz val="14"/>
      <name val="Times New Roman"/>
      <family val="1"/>
    </font>
    <font>
      <sz val="12"/>
      <name val="Times New Roman"/>
      <family val="1"/>
    </font>
    <font>
      <sz val="11"/>
      <name val="Times New Roman"/>
      <family val="1"/>
    </font>
    <font>
      <b/>
      <sz val="12"/>
      <name val="Times New Roman"/>
      <family val="1"/>
    </font>
    <font>
      <sz val="11"/>
      <name val="UVnTime"/>
    </font>
    <font>
      <sz val="14"/>
      <name val="??"/>
      <family val="3"/>
    </font>
    <font>
      <sz val="10"/>
      <name val="???"/>
      <family val="3"/>
    </font>
    <font>
      <sz val="12"/>
      <name val="VNI-Times"/>
    </font>
    <font>
      <b/>
      <sz val="12"/>
      <name val="Arial"/>
      <family val="2"/>
    </font>
    <font>
      <sz val="10"/>
      <name val="MS Sans Serif"/>
      <family val="2"/>
    </font>
    <font>
      <sz val="12"/>
      <name val="Arial"/>
      <family val="2"/>
    </font>
    <font>
      <sz val="10"/>
      <name val=".VnTime"/>
      <family val="2"/>
    </font>
    <font>
      <sz val="9"/>
      <name val=".VnTime"/>
      <family val="2"/>
    </font>
    <font>
      <b/>
      <sz val="12"/>
      <name val=".VnTime"/>
      <family val="2"/>
    </font>
    <font>
      <b/>
      <sz val="10"/>
      <name val=".VnTime"/>
      <family val="2"/>
    </font>
    <font>
      <sz val="10"/>
      <name val=" "/>
      <family val="1"/>
    </font>
    <font>
      <sz val="14"/>
      <name val="뼻뮝"/>
      <family val="3"/>
    </font>
    <font>
      <sz val="12"/>
      <name val="바탕체"/>
      <family val="3"/>
    </font>
    <font>
      <sz val="12"/>
      <name val="뼻뮝"/>
      <family val="1"/>
    </font>
    <font>
      <sz val="12"/>
      <name val=".VnTime"/>
      <family val="2"/>
    </font>
    <font>
      <sz val="10"/>
      <name val="굴림체"/>
      <family val="3"/>
    </font>
    <font>
      <b/>
      <sz val="9"/>
      <name val="Arial"/>
      <family val="2"/>
    </font>
    <font>
      <sz val="12"/>
      <name val="新細明體"/>
      <charset val="136"/>
    </font>
    <font>
      <sz val="12"/>
      <name val="Courier"/>
      <family val="3"/>
    </font>
    <font>
      <sz val="11"/>
      <color indexed="8"/>
      <name val="Arial"/>
      <family val="2"/>
    </font>
    <font>
      <sz val="10"/>
      <name val="Arial"/>
      <family val="2"/>
      <charset val="163"/>
    </font>
    <font>
      <sz val="9"/>
      <color indexed="81"/>
      <name val="Tahoma"/>
      <family val="2"/>
    </font>
    <font>
      <b/>
      <sz val="9"/>
      <color indexed="81"/>
      <name val="Tahoma"/>
      <family val="2"/>
    </font>
    <font>
      <b/>
      <sz val="11"/>
      <name val="Times New Roman"/>
      <family val="1"/>
    </font>
    <font>
      <b/>
      <i/>
      <sz val="11"/>
      <name val="Times New Roman"/>
      <family val="1"/>
    </font>
    <font>
      <sz val="12"/>
      <color indexed="81"/>
      <name val="Times New Roman"/>
      <family val="1"/>
    </font>
    <font>
      <sz val="12"/>
      <color indexed="81"/>
      <name val="Tahoma"/>
      <family val="2"/>
    </font>
    <font>
      <b/>
      <sz val="13"/>
      <name val="Times New Roman"/>
      <family val="1"/>
    </font>
    <font>
      <sz val="13"/>
      <name val="Times New Roman"/>
      <family val="1"/>
    </font>
    <font>
      <sz val="11"/>
      <name val="Times New Roman"/>
      <family val="1"/>
      <charset val="163"/>
    </font>
    <font>
      <b/>
      <sz val="11"/>
      <name val="Times New Roman"/>
      <family val="1"/>
      <charset val="163"/>
    </font>
    <font>
      <b/>
      <sz val="13"/>
      <name val="Times New Roman"/>
      <family val="1"/>
      <charset val="163"/>
    </font>
    <font>
      <sz val="10"/>
      <name val="Times New Roman"/>
      <family val="1"/>
    </font>
    <font>
      <i/>
      <sz val="12"/>
      <name val="Times New Roman"/>
      <family val="1"/>
    </font>
    <font>
      <sz val="11"/>
      <color theme="1"/>
      <name val="Calibri"/>
      <family val="2"/>
      <scheme val="minor"/>
    </font>
    <font>
      <sz val="11"/>
      <color theme="0"/>
      <name val="Calibri"/>
      <family val="2"/>
      <scheme val="minor"/>
    </font>
    <font>
      <sz val="14"/>
      <color theme="1"/>
      <name val="Times New Roman"/>
      <family val="1"/>
    </font>
    <font>
      <sz val="11"/>
      <color theme="1"/>
      <name val="Times New Roman"/>
      <family val="1"/>
    </font>
    <font>
      <sz val="12"/>
      <color theme="1"/>
      <name val="Times New Roman"/>
      <family val="1"/>
    </font>
    <font>
      <sz val="12"/>
      <color rgb="FF000000"/>
      <name val="Times New Roman"/>
      <family val="1"/>
    </font>
    <font>
      <sz val="14"/>
      <color rgb="FF000000"/>
      <name val="Times New Roman"/>
      <family val="1"/>
    </font>
    <font>
      <b/>
      <sz val="11"/>
      <color theme="1"/>
      <name val="Times New Roman"/>
      <family val="1"/>
    </font>
    <font>
      <b/>
      <sz val="10"/>
      <color theme="1"/>
      <name val="Times New Roman"/>
      <family val="1"/>
    </font>
    <font>
      <sz val="10"/>
      <color theme="1"/>
      <name val="Times New Roman"/>
      <family val="1"/>
    </font>
    <font>
      <b/>
      <sz val="14"/>
      <color theme="1"/>
      <name val="Times New Roman"/>
      <family val="1"/>
    </font>
    <font>
      <b/>
      <sz val="12"/>
      <color theme="1"/>
      <name val="Times New Roman"/>
      <family val="1"/>
    </font>
    <font>
      <sz val="12"/>
      <color theme="1"/>
      <name val="Calibri"/>
      <family val="2"/>
      <scheme val="minor"/>
    </font>
    <font>
      <b/>
      <sz val="13"/>
      <color theme="1"/>
      <name val="Times New Roman"/>
      <family val="1"/>
    </font>
    <font>
      <sz val="13"/>
      <color theme="1"/>
      <name val="Times New Roman"/>
      <family val="1"/>
    </font>
    <font>
      <sz val="11"/>
      <color theme="0"/>
      <name val="Times New Roman"/>
      <family val="1"/>
    </font>
    <font>
      <sz val="13"/>
      <color theme="0"/>
      <name val="Times New Roman"/>
      <family val="1"/>
    </font>
    <font>
      <sz val="14"/>
      <color theme="0"/>
      <name val="Times New Roman"/>
      <family val="1"/>
    </font>
    <font>
      <b/>
      <sz val="11"/>
      <color theme="0"/>
      <name val="Times New Roman"/>
      <family val="1"/>
    </font>
    <font>
      <sz val="10"/>
      <color theme="1"/>
      <name val="Times New Roman"/>
      <family val="1"/>
      <charset val="163"/>
    </font>
    <font>
      <sz val="11"/>
      <color theme="1"/>
      <name val="Times New Roman"/>
      <family val="1"/>
      <charset val="163"/>
    </font>
    <font>
      <sz val="12"/>
      <color theme="0"/>
      <name val="Calibri"/>
      <family val="2"/>
      <scheme val="minor"/>
    </font>
    <font>
      <sz val="11"/>
      <name val="Calibri"/>
      <family val="2"/>
      <scheme val="minor"/>
    </font>
    <font>
      <b/>
      <i/>
      <sz val="12"/>
      <color theme="1"/>
      <name val="Times New Roman"/>
      <family val="1"/>
    </font>
    <font>
      <sz val="12"/>
      <color theme="1"/>
      <name val="Times New Roman"/>
      <family val="1"/>
      <charset val="163"/>
    </font>
    <font>
      <sz val="12"/>
      <color rgb="FFFF0000"/>
      <name val="Times New Roman"/>
      <family val="1"/>
    </font>
    <font>
      <b/>
      <sz val="13"/>
      <color theme="1"/>
      <name val="Times New Roman"/>
      <family val="1"/>
      <charset val="163"/>
    </font>
  </fonts>
  <fills count="5">
    <fill>
      <patternFill patternType="none"/>
    </fill>
    <fill>
      <patternFill patternType="gray125"/>
    </fill>
    <fill>
      <patternFill patternType="gray125">
        <fgColor indexed="35"/>
      </patternFill>
    </fill>
    <fill>
      <patternFill patternType="solid">
        <fgColor rgb="FFFFFFFF"/>
        <bgColor indexed="64"/>
      </patternFill>
    </fill>
    <fill>
      <patternFill patternType="solid">
        <fgColor theme="0"/>
        <bgColor indexed="64"/>
      </patternFill>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0">
    <xf numFmtId="0" fontId="0" fillId="0" borderId="0"/>
    <xf numFmtId="186" fontId="1" fillId="0" borderId="0" applyFont="0" applyFill="0" applyBorder="0" applyAlignment="0" applyProtection="0"/>
    <xf numFmtId="0" fontId="8" fillId="0" borderId="0" applyFont="0" applyFill="0" applyBorder="0" applyAlignment="0" applyProtection="0"/>
    <xf numFmtId="187" fontId="1"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0" fontId="1" fillId="0" borderId="0" applyFont="0" applyFill="0" applyBorder="0" applyAlignment="0" applyProtection="0"/>
    <xf numFmtId="0" fontId="9" fillId="0" borderId="0"/>
    <xf numFmtId="43" fontId="7" fillId="0" borderId="0" applyFont="0" applyFill="0" applyBorder="0" applyAlignment="0" applyProtection="0"/>
    <xf numFmtId="3" fontId="1" fillId="0" borderId="0" applyFont="0" applyFill="0" applyBorder="0" applyAlignment="0" applyProtection="0"/>
    <xf numFmtId="170" fontId="42" fillId="0" borderId="0" applyFont="0" applyFill="0" applyBorder="0" applyAlignment="0" applyProtection="0"/>
    <xf numFmtId="188" fontId="10"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0" fontId="11" fillId="0" borderId="1" applyNumberFormat="0" applyAlignment="0" applyProtection="0">
      <alignment horizontal="left" vertical="center"/>
    </xf>
    <xf numFmtId="0" fontId="11" fillId="0" borderId="2">
      <alignment horizontal="left" vertical="center"/>
    </xf>
    <xf numFmtId="38" fontId="12" fillId="0" borderId="0" applyFont="0" applyFill="0" applyBorder="0" applyAlignment="0" applyProtection="0"/>
    <xf numFmtId="40"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Alignment="0" applyProtection="0"/>
    <xf numFmtId="0" fontId="13" fillId="0" borderId="0" applyNumberFormat="0" applyFont="0" applyFill="0" applyAlignment="0"/>
    <xf numFmtId="0" fontId="1" fillId="0" borderId="0"/>
    <xf numFmtId="0" fontId="28" fillId="0" borderId="0"/>
    <xf numFmtId="9" fontId="7" fillId="0" borderId="0" applyFont="0" applyFill="0" applyBorder="0" applyAlignment="0" applyProtection="0"/>
    <xf numFmtId="9" fontId="27" fillId="0" borderId="0" applyFont="0" applyFill="0" applyBorder="0" applyAlignment="0" applyProtection="0"/>
    <xf numFmtId="0" fontId="4" fillId="0" borderId="0" applyFont="0" applyAlignment="0">
      <alignment horizontal="justify"/>
    </xf>
    <xf numFmtId="0" fontId="16" fillId="2" borderId="3">
      <alignment horizontal="left" vertical="center"/>
    </xf>
    <xf numFmtId="5" fontId="17" fillId="0" borderId="4">
      <alignment horizontal="left" vertical="top"/>
    </xf>
    <xf numFmtId="5" fontId="14" fillId="0" borderId="5">
      <alignment horizontal="left" vertical="top"/>
    </xf>
    <xf numFmtId="0" fontId="15" fillId="0" borderId="5">
      <alignment horizontal="left" vertical="center"/>
    </xf>
    <xf numFmtId="0" fontId="18" fillId="0" borderId="0" applyFont="0" applyFill="0" applyBorder="0" applyAlignment="0" applyProtection="0"/>
    <xf numFmtId="0" fontId="18" fillId="0" borderId="0" applyFont="0" applyFill="0" applyBorder="0" applyAlignment="0" applyProtection="0"/>
    <xf numFmtId="0" fontId="4" fillId="0" borderId="0">
      <alignment vertical="center"/>
    </xf>
    <xf numFmtId="40" fontId="19" fillId="0" borderId="0" applyFont="0" applyFill="0" applyBorder="0" applyAlignment="0" applyProtection="0"/>
    <xf numFmtId="3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9" fontId="20" fillId="0" borderId="0" applyFont="0" applyFill="0" applyBorder="0" applyAlignment="0" applyProtection="0"/>
    <xf numFmtId="0" fontId="21" fillId="0" borderId="0"/>
    <xf numFmtId="191" fontId="22" fillId="0" borderId="0" applyFont="0" applyFill="0" applyBorder="0" applyAlignment="0" applyProtection="0"/>
    <xf numFmtId="185" fontId="22" fillId="0" borderId="0" applyFont="0" applyFill="0" applyBorder="0" applyAlignment="0" applyProtection="0"/>
    <xf numFmtId="192" fontId="20" fillId="0" borderId="0" applyFont="0" applyFill="0" applyBorder="0" applyAlignment="0" applyProtection="0"/>
    <xf numFmtId="193" fontId="20" fillId="0" borderId="0" applyFont="0" applyFill="0" applyBorder="0" applyAlignment="0" applyProtection="0"/>
    <xf numFmtId="0" fontId="23" fillId="0" borderId="0"/>
    <xf numFmtId="0" fontId="24" fillId="0" borderId="0" applyProtection="0"/>
    <xf numFmtId="182" fontId="25" fillId="0" borderId="0" applyFont="0" applyFill="0" applyBorder="0" applyAlignment="0" applyProtection="0"/>
    <xf numFmtId="40" fontId="26" fillId="0" borderId="0" applyFont="0" applyFill="0" applyBorder="0" applyAlignment="0" applyProtection="0"/>
    <xf numFmtId="194" fontId="25" fillId="0" borderId="0" applyFont="0" applyFill="0" applyBorder="0" applyAlignment="0" applyProtection="0"/>
    <xf numFmtId="189" fontId="26" fillId="0" borderId="0" applyFont="0" applyFill="0" applyBorder="0" applyAlignment="0" applyProtection="0"/>
    <xf numFmtId="195" fontId="25" fillId="0" borderId="0" applyFont="0" applyFill="0" applyBorder="0" applyAlignment="0" applyProtection="0"/>
  </cellStyleXfs>
  <cellXfs count="660">
    <xf numFmtId="0" fontId="0" fillId="0" borderId="0" xfId="0"/>
    <xf numFmtId="0" fontId="44" fillId="0" borderId="0" xfId="0" applyFont="1" applyAlignment="1">
      <alignment horizontal="center" vertical="center"/>
    </xf>
    <xf numFmtId="0" fontId="3" fillId="0" borderId="3" xfId="21" applyFont="1" applyBorder="1" applyAlignment="1">
      <alignment horizontal="center" vertical="center" wrapText="1"/>
    </xf>
    <xf numFmtId="38" fontId="3" fillId="0" borderId="6" xfId="21" applyNumberFormat="1" applyFont="1" applyBorder="1" applyAlignment="1">
      <alignment vertical="center"/>
    </xf>
    <xf numFmtId="38" fontId="3" fillId="0" borderId="7" xfId="21" applyNumberFormat="1" applyFont="1" applyBorder="1" applyAlignment="1">
      <alignment vertical="center"/>
    </xf>
    <xf numFmtId="38" fontId="3" fillId="0" borderId="7" xfId="21" applyNumberFormat="1" applyFont="1" applyBorder="1" applyAlignment="1">
      <alignment horizontal="center" vertical="center"/>
    </xf>
    <xf numFmtId="38" fontId="3" fillId="0" borderId="8" xfId="21" applyNumberFormat="1" applyFont="1" applyBorder="1" applyAlignment="1">
      <alignment horizontal="center" vertical="center"/>
    </xf>
    <xf numFmtId="38" fontId="3" fillId="0" borderId="8" xfId="21" applyNumberFormat="1" applyFont="1" applyBorder="1" applyAlignment="1">
      <alignment vertical="center"/>
    </xf>
    <xf numFmtId="0" fontId="4" fillId="0" borderId="3" xfId="21" quotePrefix="1" applyFont="1" applyBorder="1" applyAlignment="1">
      <alignment horizontal="center" vertical="center"/>
    </xf>
    <xf numFmtId="0" fontId="4" fillId="0" borderId="3" xfId="21" applyFont="1" applyBorder="1" applyAlignment="1">
      <alignment horizontal="center" vertical="center" wrapText="1"/>
    </xf>
    <xf numFmtId="0" fontId="2" fillId="0" borderId="0" xfId="0" applyFont="1" applyAlignment="1">
      <alignment horizontal="left"/>
    </xf>
    <xf numFmtId="0" fontId="4" fillId="0" borderId="0" xfId="0" applyFont="1"/>
    <xf numFmtId="4" fontId="3" fillId="0" borderId="0" xfId="0" applyNumberFormat="1" applyFont="1"/>
    <xf numFmtId="0" fontId="3" fillId="0" borderId="0" xfId="0" applyFont="1"/>
    <xf numFmtId="0" fontId="3" fillId="0" borderId="0" xfId="0" applyFont="1" applyAlignment="1">
      <alignment wrapText="1"/>
    </xf>
    <xf numFmtId="172" fontId="3" fillId="0" borderId="9" xfId="0" applyNumberFormat="1" applyFont="1" applyBorder="1" applyAlignment="1">
      <alignment vertical="center"/>
    </xf>
    <xf numFmtId="0" fontId="2" fillId="0" borderId="0" xfId="0" applyFont="1" applyAlignment="1">
      <alignment horizontal="center"/>
    </xf>
    <xf numFmtId="0" fontId="3" fillId="0" borderId="0" xfId="0" applyFont="1" applyAlignment="1">
      <alignment horizontal="center"/>
    </xf>
    <xf numFmtId="172" fontId="3" fillId="0" borderId="10" xfId="0" applyNumberFormat="1" applyFont="1" applyBorder="1" applyAlignment="1">
      <alignment vertical="center"/>
    </xf>
    <xf numFmtId="38" fontId="3" fillId="0" borderId="6" xfId="21" applyNumberFormat="1" applyFont="1" applyFill="1" applyBorder="1" applyAlignment="1">
      <alignment vertical="center"/>
    </xf>
    <xf numFmtId="0" fontId="4" fillId="0" borderId="3" xfId="21" applyFont="1" applyFill="1" applyBorder="1" applyAlignment="1">
      <alignment horizontal="center" vertical="center" wrapText="1"/>
    </xf>
    <xf numFmtId="0" fontId="45" fillId="0" borderId="0" xfId="0" applyFont="1"/>
    <xf numFmtId="0" fontId="2" fillId="0" borderId="0" xfId="0" applyFont="1" applyFill="1" applyAlignment="1">
      <alignment horizontal="left"/>
    </xf>
    <xf numFmtId="0" fontId="3" fillId="0" borderId="0" xfId="0" applyFont="1" applyAlignment="1">
      <alignment horizontal="center" wrapText="1"/>
    </xf>
    <xf numFmtId="0" fontId="4" fillId="0" borderId="3" xfId="0" quotePrefix="1" applyNumberFormat="1" applyFont="1" applyBorder="1" applyAlignment="1">
      <alignment horizontal="center" vertical="center"/>
    </xf>
    <xf numFmtId="0" fontId="4" fillId="0" borderId="3" xfId="0" applyNumberFormat="1" applyFont="1" applyBorder="1" applyAlignment="1">
      <alignment horizontal="center" vertical="center"/>
    </xf>
    <xf numFmtId="179" fontId="3" fillId="0" borderId="11" xfId="0" applyNumberFormat="1" applyFont="1" applyBorder="1" applyAlignment="1">
      <alignment vertical="center"/>
    </xf>
    <xf numFmtId="0" fontId="3" fillId="0" borderId="3" xfId="0" applyFont="1" applyBorder="1" applyAlignment="1">
      <alignment horizontal="center"/>
    </xf>
    <xf numFmtId="4" fontId="3" fillId="0" borderId="0" xfId="0" applyNumberFormat="1" applyFont="1" applyFill="1"/>
    <xf numFmtId="0" fontId="4" fillId="0" borderId="3" xfId="0" quotePrefix="1" applyNumberFormat="1" applyFont="1" applyFill="1" applyBorder="1" applyAlignment="1">
      <alignment horizontal="center" vertical="center"/>
    </xf>
    <xf numFmtId="172" fontId="3" fillId="0" borderId="9" xfId="0" applyNumberFormat="1" applyFont="1" applyFill="1" applyBorder="1" applyAlignment="1">
      <alignment vertical="center"/>
    </xf>
    <xf numFmtId="172" fontId="3" fillId="0" borderId="11" xfId="0" applyNumberFormat="1" applyFont="1" applyFill="1" applyBorder="1" applyAlignment="1">
      <alignment vertical="center"/>
    </xf>
    <xf numFmtId="0" fontId="46" fillId="0" borderId="0" xfId="0" applyFont="1" applyAlignment="1">
      <alignment horizontal="right" vertical="center"/>
    </xf>
    <xf numFmtId="0" fontId="5" fillId="0" borderId="0" xfId="0" applyFont="1"/>
    <xf numFmtId="181" fontId="4" fillId="0" borderId="0" xfId="0" applyNumberFormat="1" applyFont="1"/>
    <xf numFmtId="0" fontId="4" fillId="0" borderId="4" xfId="22" quotePrefix="1" applyFont="1" applyBorder="1" applyAlignment="1">
      <alignment horizontal="center" vertical="center"/>
    </xf>
    <xf numFmtId="0" fontId="4" fillId="0" borderId="3" xfId="22" quotePrefix="1" applyFont="1" applyBorder="1" applyAlignment="1">
      <alignment horizontal="center" vertical="center"/>
    </xf>
    <xf numFmtId="0" fontId="47" fillId="0" borderId="3" xfId="22" quotePrefix="1" applyFont="1" applyBorder="1" applyAlignment="1">
      <alignment horizontal="center" vertical="center"/>
    </xf>
    <xf numFmtId="0" fontId="4" fillId="0" borderId="3" xfId="22" applyFont="1" applyBorder="1" applyAlignment="1">
      <alignment horizontal="center" vertical="center"/>
    </xf>
    <xf numFmtId="172" fontId="3" fillId="0" borderId="9" xfId="22" applyNumberFormat="1" applyFont="1" applyBorder="1" applyAlignment="1">
      <alignment vertical="center"/>
    </xf>
    <xf numFmtId="172" fontId="48" fillId="0" borderId="12" xfId="22" applyNumberFormat="1" applyFont="1" applyBorder="1" applyAlignment="1">
      <alignment vertical="center"/>
    </xf>
    <xf numFmtId="180" fontId="3" fillId="0" borderId="3" xfId="22" applyNumberFormat="1" applyFont="1" applyBorder="1" applyAlignment="1">
      <alignment horizontal="center" vertical="center"/>
    </xf>
    <xf numFmtId="172" fontId="48" fillId="0" borderId="3" xfId="22" applyNumberFormat="1" applyFont="1" applyBorder="1" applyAlignment="1">
      <alignment horizontal="center" vertical="center"/>
    </xf>
    <xf numFmtId="172" fontId="48" fillId="0" borderId="12" xfId="22" applyNumberFormat="1" applyFont="1" applyBorder="1" applyAlignment="1">
      <alignment horizontal="center" vertical="center"/>
    </xf>
    <xf numFmtId="0" fontId="2" fillId="0" borderId="0" xfId="22" applyFont="1" applyAlignment="1">
      <alignment vertical="center" wrapText="1"/>
    </xf>
    <xf numFmtId="0" fontId="2" fillId="0" borderId="0" xfId="22" applyFont="1" applyAlignment="1">
      <alignment horizontal="left" vertical="center"/>
    </xf>
    <xf numFmtId="1" fontId="45" fillId="0" borderId="0" xfId="0" applyNumberFormat="1" applyFont="1"/>
    <xf numFmtId="172" fontId="2" fillId="0" borderId="3" xfId="0" applyNumberFormat="1" applyFont="1" applyBorder="1" applyAlignment="1">
      <alignment horizontal="right" vertical="center"/>
    </xf>
    <xf numFmtId="0" fontId="3" fillId="3" borderId="11" xfId="0" applyFont="1" applyFill="1" applyBorder="1" applyAlignment="1">
      <alignment horizontal="center" vertical="center" wrapText="1"/>
    </xf>
    <xf numFmtId="0" fontId="3" fillId="3" borderId="11" xfId="0" applyFont="1" applyFill="1" applyBorder="1" applyAlignment="1">
      <alignment vertical="center" wrapText="1"/>
    </xf>
    <xf numFmtId="0" fontId="3" fillId="3" borderId="9" xfId="0" applyFont="1" applyFill="1" applyBorder="1" applyAlignment="1">
      <alignment horizontal="center" vertical="center" wrapText="1"/>
    </xf>
    <xf numFmtId="0" fontId="3" fillId="3" borderId="9" xfId="0" applyFont="1" applyFill="1" applyBorder="1" applyAlignment="1">
      <alignment vertical="center" wrapText="1"/>
    </xf>
    <xf numFmtId="0" fontId="3" fillId="3" borderId="10" xfId="0" applyFont="1" applyFill="1" applyBorder="1" applyAlignment="1">
      <alignment horizontal="center" vertical="center" wrapText="1"/>
    </xf>
    <xf numFmtId="0" fontId="3" fillId="3" borderId="10" xfId="0" applyFont="1" applyFill="1" applyBorder="1" applyAlignment="1">
      <alignment vertical="center" wrapText="1"/>
    </xf>
    <xf numFmtId="0" fontId="3" fillId="0" borderId="0" xfId="0" applyFont="1" applyAlignment="1">
      <alignment horizontal="center" vertical="center"/>
    </xf>
    <xf numFmtId="0" fontId="4" fillId="0" borderId="0" xfId="0" applyFont="1" applyAlignment="1">
      <alignment horizontal="right" vertical="center"/>
    </xf>
    <xf numFmtId="0" fontId="3" fillId="0" borderId="4" xfId="0" applyFont="1" applyBorder="1" applyAlignment="1">
      <alignment horizontal="center" vertical="center" wrapText="1"/>
    </xf>
    <xf numFmtId="4" fontId="3" fillId="0" borderId="4" xfId="0" applyNumberFormat="1" applyFont="1" applyBorder="1" applyAlignment="1">
      <alignment horizontal="center" vertical="center" wrapText="1"/>
    </xf>
    <xf numFmtId="0" fontId="45" fillId="0" borderId="0" xfId="0" applyFont="1" applyAlignment="1">
      <alignment horizontal="center" vertical="center"/>
    </xf>
    <xf numFmtId="0" fontId="5" fillId="0" borderId="13"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3" xfId="0" applyFont="1" applyBorder="1" applyAlignment="1">
      <alignment horizontal="center" vertical="center" wrapText="1"/>
    </xf>
    <xf numFmtId="0" fontId="45" fillId="3" borderId="9" xfId="0" applyFont="1" applyFill="1" applyBorder="1" applyAlignment="1">
      <alignment horizontal="center" vertical="center" wrapText="1"/>
    </xf>
    <xf numFmtId="172" fontId="31" fillId="0" borderId="11" xfId="0" applyNumberFormat="1" applyFont="1" applyBorder="1" applyAlignment="1">
      <alignment horizontal="center" vertical="center"/>
    </xf>
    <xf numFmtId="0" fontId="45" fillId="3" borderId="9" xfId="0" applyNumberFormat="1" applyFont="1" applyFill="1" applyBorder="1" applyAlignment="1">
      <alignment horizontal="justify" vertical="center" wrapText="1"/>
    </xf>
    <xf numFmtId="1" fontId="5" fillId="0" borderId="9" xfId="0" applyNumberFormat="1" applyFont="1" applyBorder="1" applyAlignment="1">
      <alignment horizontal="center" vertical="center" wrapText="1"/>
    </xf>
    <xf numFmtId="38" fontId="5" fillId="0" borderId="9" xfId="0" applyNumberFormat="1" applyFont="1" applyBorder="1" applyAlignment="1">
      <alignment vertical="center"/>
    </xf>
    <xf numFmtId="178" fontId="45" fillId="3" borderId="9" xfId="0" applyNumberFormat="1" applyFont="1" applyFill="1" applyBorder="1" applyAlignment="1">
      <alignment horizontal="right" vertical="center"/>
    </xf>
    <xf numFmtId="172" fontId="5" fillId="0" borderId="9" xfId="0" applyNumberFormat="1" applyFont="1" applyBorder="1" applyAlignment="1">
      <alignment vertical="center"/>
    </xf>
    <xf numFmtId="0" fontId="5" fillId="0" borderId="9" xfId="0" applyFont="1" applyBorder="1" applyAlignment="1">
      <alignment horizontal="center" vertical="center" wrapText="1"/>
    </xf>
    <xf numFmtId="0" fontId="5" fillId="4" borderId="9" xfId="0" applyFont="1" applyFill="1" applyBorder="1" applyAlignment="1">
      <alignment horizontal="center" vertical="center" wrapText="1"/>
    </xf>
    <xf numFmtId="1" fontId="5" fillId="4" borderId="9" xfId="0" applyNumberFormat="1" applyFont="1" applyFill="1" applyBorder="1" applyAlignment="1">
      <alignment horizontal="center" vertical="center" wrapText="1"/>
    </xf>
    <xf numFmtId="178" fontId="5" fillId="4" borderId="9" xfId="0" applyNumberFormat="1" applyFont="1" applyFill="1" applyBorder="1" applyAlignment="1">
      <alignment horizontal="right" vertical="center"/>
    </xf>
    <xf numFmtId="172" fontId="5" fillId="4" borderId="9" xfId="0" applyNumberFormat="1" applyFont="1" applyFill="1" applyBorder="1" applyAlignment="1">
      <alignment vertical="center"/>
    </xf>
    <xf numFmtId="172" fontId="31" fillId="0" borderId="9" xfId="0" applyNumberFormat="1" applyFont="1" applyBorder="1" applyAlignment="1">
      <alignment vertical="center"/>
    </xf>
    <xf numFmtId="0" fontId="49" fillId="3" borderId="9" xfId="0" applyNumberFormat="1" applyFont="1" applyFill="1" applyBorder="1" applyAlignment="1">
      <alignment horizontal="justify" vertical="center" wrapText="1"/>
    </xf>
    <xf numFmtId="1" fontId="31" fillId="0" borderId="9" xfId="0" applyNumberFormat="1" applyFont="1" applyBorder="1" applyAlignment="1">
      <alignment horizontal="center" vertical="center" wrapText="1"/>
    </xf>
    <xf numFmtId="178" fontId="49" fillId="3" borderId="9" xfId="0" applyNumberFormat="1" applyFont="1" applyFill="1" applyBorder="1" applyAlignment="1">
      <alignment horizontal="right" vertical="center"/>
    </xf>
    <xf numFmtId="0" fontId="49" fillId="3" borderId="13" xfId="0" applyNumberFormat="1" applyFont="1" applyFill="1" applyBorder="1" applyAlignment="1">
      <alignment horizontal="center" vertical="center" wrapText="1"/>
    </xf>
    <xf numFmtId="172" fontId="49" fillId="0" borderId="13" xfId="0" applyNumberFormat="1" applyFont="1" applyBorder="1" applyAlignment="1">
      <alignment horizontal="center" vertical="center"/>
    </xf>
    <xf numFmtId="0" fontId="5" fillId="0" borderId="0" xfId="0" applyFont="1" applyAlignment="1">
      <alignment vertical="center"/>
    </xf>
    <xf numFmtId="0" fontId="4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4" fontId="5" fillId="0" borderId="0" xfId="0" applyNumberFormat="1" applyFont="1" applyAlignment="1">
      <alignment vertical="center"/>
    </xf>
    <xf numFmtId="0" fontId="45" fillId="4" borderId="0" xfId="0" applyFont="1" applyFill="1" applyAlignment="1">
      <alignment vertical="center"/>
    </xf>
    <xf numFmtId="0" fontId="49" fillId="0" borderId="0" xfId="0" applyFont="1" applyAlignment="1">
      <alignment vertical="center"/>
    </xf>
    <xf numFmtId="0" fontId="45" fillId="0" borderId="9" xfId="0" applyFont="1" applyBorder="1" applyAlignment="1">
      <alignment vertical="center"/>
    </xf>
    <xf numFmtId="0" fontId="49" fillId="0" borderId="13" xfId="0" applyFont="1" applyBorder="1" applyAlignment="1">
      <alignment vertical="center"/>
    </xf>
    <xf numFmtId="0" fontId="45" fillId="0" borderId="9" xfId="0" applyFont="1" applyBorder="1" applyAlignment="1">
      <alignment horizontal="center" vertical="center"/>
    </xf>
    <xf numFmtId="0" fontId="45" fillId="0" borderId="9" xfId="0" applyFont="1" applyBorder="1" applyAlignment="1">
      <alignment horizontal="center" vertical="center" wrapText="1"/>
    </xf>
    <xf numFmtId="196" fontId="5" fillId="0" borderId="0" xfId="0" applyNumberFormat="1" applyFont="1" applyAlignment="1">
      <alignment horizontal="center" vertical="center"/>
    </xf>
    <xf numFmtId="196" fontId="5" fillId="0" borderId="3" xfId="0" quotePrefix="1" applyNumberFormat="1" applyFont="1" applyBorder="1" applyAlignment="1">
      <alignment horizontal="center" vertical="center" wrapText="1"/>
    </xf>
    <xf numFmtId="196" fontId="49" fillId="0" borderId="13" xfId="0" applyNumberFormat="1" applyFont="1" applyBorder="1" applyAlignment="1">
      <alignment horizontal="center" vertical="center"/>
    </xf>
    <xf numFmtId="196" fontId="45" fillId="0" borderId="0" xfId="0" applyNumberFormat="1" applyFont="1" applyAlignment="1">
      <alignment horizontal="center" vertical="center"/>
    </xf>
    <xf numFmtId="172" fontId="5" fillId="0" borderId="11" xfId="0" applyNumberFormat="1" applyFont="1" applyBorder="1" applyAlignment="1">
      <alignment horizontal="right" vertical="center"/>
    </xf>
    <xf numFmtId="38" fontId="5" fillId="0" borderId="11" xfId="0" applyNumberFormat="1" applyFont="1" applyBorder="1" applyAlignment="1">
      <alignment vertical="center"/>
    </xf>
    <xf numFmtId="172" fontId="31" fillId="0" borderId="11" xfId="0" applyNumberFormat="1" applyFont="1" applyBorder="1" applyAlignment="1">
      <alignment vertical="center"/>
    </xf>
    <xf numFmtId="0" fontId="5" fillId="0" borderId="14" xfId="0" applyFont="1" applyBorder="1" applyAlignment="1">
      <alignment vertical="center" wrapText="1"/>
    </xf>
    <xf numFmtId="0" fontId="5" fillId="0" borderId="2" xfId="0" applyFont="1" applyBorder="1" applyAlignment="1">
      <alignment vertical="center" wrapText="1"/>
    </xf>
    <xf numFmtId="0" fontId="5" fillId="0" borderId="15" xfId="0" applyFont="1" applyBorder="1" applyAlignment="1">
      <alignment horizontal="center" vertical="center" wrapText="1"/>
    </xf>
    <xf numFmtId="4" fontId="5" fillId="0" borderId="11" xfId="0" applyNumberFormat="1" applyFont="1" applyBorder="1" applyAlignment="1">
      <alignment horizontal="center" vertical="center" wrapText="1"/>
    </xf>
    <xf numFmtId="4" fontId="45" fillId="3" borderId="9" xfId="0" applyNumberFormat="1" applyFont="1" applyFill="1" applyBorder="1" applyAlignment="1">
      <alignment horizontal="center" vertical="center"/>
    </xf>
    <xf numFmtId="4" fontId="45" fillId="4" borderId="9" xfId="0" applyNumberFormat="1" applyFont="1" applyFill="1" applyBorder="1" applyAlignment="1">
      <alignment horizontal="center" vertical="center"/>
    </xf>
    <xf numFmtId="4" fontId="45" fillId="0" borderId="9" xfId="0" applyNumberFormat="1" applyFont="1" applyBorder="1" applyAlignment="1">
      <alignment horizontal="center" vertical="center"/>
    </xf>
    <xf numFmtId="0" fontId="5" fillId="0" borderId="16" xfId="0" applyFont="1" applyBorder="1" applyAlignment="1">
      <alignment vertical="center" wrapText="1"/>
    </xf>
    <xf numFmtId="0" fontId="50" fillId="0" borderId="9" xfId="0" applyFont="1" applyBorder="1" applyAlignment="1">
      <alignment horizontal="center" vertical="center" wrapText="1"/>
    </xf>
    <xf numFmtId="0" fontId="51" fillId="0" borderId="9" xfId="0" applyFont="1" applyBorder="1" applyAlignment="1">
      <alignment horizontal="center" vertical="center" wrapText="1"/>
    </xf>
    <xf numFmtId="0" fontId="5" fillId="0" borderId="10"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45" fillId="0" borderId="9" xfId="0" applyFont="1" applyBorder="1" applyAlignment="1">
      <alignment horizontal="justify" vertical="center" wrapText="1"/>
    </xf>
    <xf numFmtId="0" fontId="49" fillId="0" borderId="9" xfId="0" applyFont="1" applyBorder="1" applyAlignment="1">
      <alignment horizontal="justify" vertical="center" wrapText="1"/>
    </xf>
    <xf numFmtId="172" fontId="49" fillId="0" borderId="13" xfId="0" applyNumberFormat="1" applyFont="1" applyBorder="1" applyAlignment="1">
      <alignment horizontal="right" vertical="center"/>
    </xf>
    <xf numFmtId="3" fontId="3" fillId="0" borderId="11" xfId="0" applyNumberFormat="1" applyFont="1" applyBorder="1" applyAlignment="1">
      <alignment vertical="center"/>
    </xf>
    <xf numFmtId="3" fontId="3" fillId="0" borderId="9" xfId="0" applyNumberFormat="1" applyFont="1" applyBorder="1" applyAlignment="1">
      <alignment vertical="center"/>
    </xf>
    <xf numFmtId="3" fontId="3" fillId="4" borderId="9" xfId="0" applyNumberFormat="1" applyFont="1" applyFill="1" applyBorder="1" applyAlignmen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4" fontId="3" fillId="0" borderId="0" xfId="0" applyNumberFormat="1" applyFont="1" applyAlignment="1">
      <alignment vertical="center"/>
    </xf>
    <xf numFmtId="3" fontId="3" fillId="0" borderId="3" xfId="0" applyNumberFormat="1" applyFont="1" applyBorder="1" applyAlignment="1">
      <alignment vertical="center"/>
    </xf>
    <xf numFmtId="0" fontId="44" fillId="0" borderId="17" xfId="0" applyFont="1" applyBorder="1" applyAlignment="1">
      <alignment vertical="center" wrapText="1"/>
    </xf>
    <xf numFmtId="0" fontId="52" fillId="0" borderId="17" xfId="0" applyFont="1" applyBorder="1" applyAlignment="1">
      <alignment vertical="center"/>
    </xf>
    <xf numFmtId="0" fontId="46" fillId="0" borderId="3" xfId="0" applyFont="1" applyBorder="1" applyAlignment="1">
      <alignment horizontal="center" vertical="center" wrapText="1"/>
    </xf>
    <xf numFmtId="0" fontId="46" fillId="0" borderId="3" xfId="0" applyFont="1" applyBorder="1"/>
    <xf numFmtId="0" fontId="53" fillId="0" borderId="3" xfId="0" applyFont="1" applyBorder="1" applyAlignment="1">
      <alignment horizontal="center" vertical="center"/>
    </xf>
    <xf numFmtId="0" fontId="52" fillId="0" borderId="17" xfId="0" applyFont="1" applyBorder="1" applyAlignment="1">
      <alignment horizontal="center" vertical="center" wrapText="1"/>
    </xf>
    <xf numFmtId="4" fontId="3" fillId="0" borderId="4" xfId="0" applyNumberFormat="1" applyFont="1" applyFill="1" applyBorder="1" applyAlignment="1">
      <alignment horizontal="center" vertical="center" wrapText="1"/>
    </xf>
    <xf numFmtId="0" fontId="53" fillId="0" borderId="17" xfId="0" applyFont="1" applyBorder="1" applyAlignment="1">
      <alignment horizontal="center" vertical="center" wrapText="1"/>
    </xf>
    <xf numFmtId="3" fontId="4" fillId="0" borderId="3" xfId="0" applyNumberFormat="1" applyFont="1" applyBorder="1" applyAlignment="1">
      <alignment vertical="center"/>
    </xf>
    <xf numFmtId="3" fontId="2" fillId="0" borderId="3" xfId="0" applyNumberFormat="1" applyFont="1" applyBorder="1" applyAlignment="1">
      <alignment horizontal="right" vertical="center"/>
    </xf>
    <xf numFmtId="0" fontId="46" fillId="0" borderId="17" xfId="0" applyFont="1" applyBorder="1" applyAlignment="1">
      <alignment horizontal="justify" vertical="center" wrapText="1"/>
    </xf>
    <xf numFmtId="0" fontId="44" fillId="0" borderId="3" xfId="0" applyFont="1" applyBorder="1" applyAlignment="1">
      <alignment horizontal="center" vertical="center" wrapText="1"/>
    </xf>
    <xf numFmtId="0" fontId="44" fillId="0" borderId="2" xfId="0" applyFont="1" applyBorder="1" applyAlignment="1">
      <alignment vertical="center" wrapText="1"/>
    </xf>
    <xf numFmtId="0" fontId="45" fillId="0" borderId="3" xfId="0" applyFont="1" applyBorder="1"/>
    <xf numFmtId="0" fontId="53" fillId="0" borderId="17" xfId="0" applyFont="1" applyBorder="1" applyAlignment="1">
      <alignment horizontal="center" vertical="center"/>
    </xf>
    <xf numFmtId="0" fontId="46" fillId="0" borderId="3" xfId="0" applyFont="1" applyBorder="1" applyAlignment="1">
      <alignment horizontal="center" vertical="center"/>
    </xf>
    <xf numFmtId="0" fontId="52" fillId="0" borderId="3" xfId="0" applyFont="1" applyBorder="1" applyAlignment="1">
      <alignment horizontal="center" vertical="center"/>
    </xf>
    <xf numFmtId="0" fontId="52" fillId="0" borderId="3" xfId="0" applyFont="1" applyBorder="1" applyAlignment="1">
      <alignment horizontal="center" vertical="center"/>
    </xf>
    <xf numFmtId="0" fontId="3" fillId="0" borderId="0" xfId="22" applyFont="1" applyAlignment="1">
      <alignment vertical="center"/>
    </xf>
    <xf numFmtId="0" fontId="3" fillId="0" borderId="0" xfId="22" applyFont="1" applyAlignment="1">
      <alignment horizontal="center" vertical="center"/>
    </xf>
    <xf numFmtId="0" fontId="3" fillId="0" borderId="0" xfId="22" applyFont="1" applyAlignment="1">
      <alignment horizontal="center" vertical="center" wrapText="1"/>
    </xf>
    <xf numFmtId="4" fontId="3" fillId="0" borderId="0" xfId="22" applyNumberFormat="1" applyFont="1" applyAlignment="1">
      <alignment vertical="center"/>
    </xf>
    <xf numFmtId="0" fontId="3" fillId="0" borderId="0" xfId="22" applyFont="1" applyAlignment="1">
      <alignment vertical="center" wrapText="1"/>
    </xf>
    <xf numFmtId="172" fontId="3" fillId="0" borderId="12" xfId="22" applyNumberFormat="1" applyFont="1" applyBorder="1" applyAlignment="1">
      <alignment vertical="center"/>
    </xf>
    <xf numFmtId="172" fontId="3" fillId="0" borderId="12" xfId="22" applyNumberFormat="1" applyFont="1" applyFill="1" applyBorder="1" applyAlignment="1">
      <alignment vertical="center"/>
    </xf>
    <xf numFmtId="172" fontId="2" fillId="0" borderId="3" xfId="22" applyNumberFormat="1" applyFont="1" applyBorder="1" applyAlignment="1">
      <alignment horizontal="right" vertical="center"/>
    </xf>
    <xf numFmtId="0" fontId="52" fillId="0" borderId="17" xfId="0" applyFont="1" applyBorder="1" applyAlignment="1">
      <alignment horizontal="center" vertical="center"/>
    </xf>
    <xf numFmtId="0" fontId="4" fillId="0" borderId="5" xfId="22" quotePrefix="1" applyFont="1" applyBorder="1" applyAlignment="1">
      <alignment horizontal="center" vertical="center"/>
    </xf>
    <xf numFmtId="0" fontId="4" fillId="0" borderId="18" xfId="22" quotePrefix="1" applyFont="1" applyBorder="1" applyAlignment="1">
      <alignment horizontal="center" vertical="center"/>
    </xf>
    <xf numFmtId="0" fontId="4" fillId="0" borderId="18" xfId="22" quotePrefix="1" applyFont="1" applyBorder="1" applyAlignment="1">
      <alignment horizontal="left" vertical="center"/>
    </xf>
    <xf numFmtId="0" fontId="4" fillId="0" borderId="16" xfId="22" quotePrefix="1" applyFont="1" applyBorder="1" applyAlignment="1">
      <alignment horizontal="center" vertical="center"/>
    </xf>
    <xf numFmtId="0" fontId="4" fillId="0" borderId="9" xfId="22" quotePrefix="1" applyFont="1" applyBorder="1" applyAlignment="1">
      <alignment horizontal="center" vertical="center"/>
    </xf>
    <xf numFmtId="0" fontId="4" fillId="0" borderId="19" xfId="22" quotePrefix="1" applyFont="1" applyBorder="1" applyAlignment="1">
      <alignment horizontal="left" vertical="center"/>
    </xf>
    <xf numFmtId="0" fontId="4" fillId="0" borderId="20" xfId="22" quotePrefix="1" applyFont="1" applyBorder="1" applyAlignment="1">
      <alignment horizontal="center" vertical="center"/>
    </xf>
    <xf numFmtId="3" fontId="48" fillId="0" borderId="20" xfId="22" quotePrefix="1" applyNumberFormat="1" applyFont="1" applyBorder="1" applyAlignment="1">
      <alignment horizontal="right" vertical="center"/>
    </xf>
    <xf numFmtId="4" fontId="4" fillId="0" borderId="18" xfId="22" quotePrefix="1" applyNumberFormat="1" applyFont="1" applyBorder="1" applyAlignment="1">
      <alignment horizontal="right" vertical="center"/>
    </xf>
    <xf numFmtId="3" fontId="48" fillId="0" borderId="18" xfId="22" quotePrefix="1" applyNumberFormat="1" applyFont="1" applyBorder="1" applyAlignment="1">
      <alignment horizontal="right" vertical="center"/>
    </xf>
    <xf numFmtId="172" fontId="48" fillId="0" borderId="9" xfId="22" applyNumberFormat="1" applyFont="1" applyBorder="1" applyAlignment="1">
      <alignment horizontal="center" vertical="center"/>
    </xf>
    <xf numFmtId="0" fontId="4" fillId="0" borderId="11" xfId="22" quotePrefix="1" applyFont="1" applyBorder="1" applyAlignment="1">
      <alignment horizontal="center" vertical="center"/>
    </xf>
    <xf numFmtId="172" fontId="3" fillId="0" borderId="21" xfId="22" applyNumberFormat="1" applyFont="1" applyBorder="1" applyAlignment="1">
      <alignment vertical="center"/>
    </xf>
    <xf numFmtId="0" fontId="4" fillId="0" borderId="10" xfId="22" quotePrefix="1" applyFont="1" applyBorder="1" applyAlignment="1">
      <alignment horizontal="center" vertical="center"/>
    </xf>
    <xf numFmtId="172" fontId="3" fillId="0" borderId="12" xfId="22" applyNumberFormat="1"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45" fillId="0" borderId="0" xfId="0" applyFont="1" applyFill="1" applyAlignment="1">
      <alignment vertical="center"/>
    </xf>
    <xf numFmtId="0" fontId="46" fillId="0" borderId="0" xfId="0" applyFont="1" applyAlignment="1">
      <alignment vertical="center"/>
    </xf>
    <xf numFmtId="0" fontId="46" fillId="0" borderId="0" xfId="0" applyFont="1" applyFill="1" applyAlignment="1">
      <alignment vertical="center"/>
    </xf>
    <xf numFmtId="204" fontId="45" fillId="0" borderId="0" xfId="0" applyNumberFormat="1" applyFont="1" applyAlignment="1">
      <alignment vertical="center"/>
    </xf>
    <xf numFmtId="0" fontId="5" fillId="0" borderId="0" xfId="0" applyFont="1" applyFill="1" applyAlignment="1">
      <alignment vertical="center"/>
    </xf>
    <xf numFmtId="197" fontId="46" fillId="0" borderId="0" xfId="0" applyNumberFormat="1" applyFont="1" applyAlignment="1">
      <alignment vertical="center"/>
    </xf>
    <xf numFmtId="197" fontId="45" fillId="0" borderId="0" xfId="0" applyNumberFormat="1" applyFont="1" applyAlignment="1">
      <alignment vertical="center"/>
    </xf>
    <xf numFmtId="3" fontId="45" fillId="0" borderId="0" xfId="0" applyNumberFormat="1" applyFont="1" applyFill="1" applyAlignment="1">
      <alignment vertical="center"/>
    </xf>
    <xf numFmtId="0" fontId="45" fillId="0" borderId="0" xfId="0" applyFont="1" applyFill="1" applyAlignment="1">
      <alignment horizontal="right" vertical="center"/>
    </xf>
    <xf numFmtId="184" fontId="3" fillId="0" borderId="11" xfId="0" applyNumberFormat="1" applyFont="1" applyBorder="1" applyAlignment="1">
      <alignment vertical="center"/>
    </xf>
    <xf numFmtId="0" fontId="4" fillId="0" borderId="0" xfId="0" applyFont="1" applyAlignment="1">
      <alignment vertical="center"/>
    </xf>
    <xf numFmtId="0" fontId="3" fillId="0" borderId="4" xfId="21" applyFont="1" applyBorder="1" applyAlignment="1">
      <alignment horizontal="center" vertical="center" wrapText="1"/>
    </xf>
    <xf numFmtId="0" fontId="4" fillId="0" borderId="0" xfId="0" applyFont="1" applyAlignment="1">
      <alignment horizontal="center"/>
    </xf>
    <xf numFmtId="0" fontId="4" fillId="0" borderId="9" xfId="0" applyFont="1" applyBorder="1" applyAlignment="1">
      <alignment horizontal="center" vertical="center"/>
    </xf>
    <xf numFmtId="172" fontId="31" fillId="0" borderId="11" xfId="0" applyNumberFormat="1" applyFont="1" applyBorder="1" applyAlignment="1">
      <alignment horizontal="right" vertical="center"/>
    </xf>
    <xf numFmtId="172" fontId="45" fillId="0" borderId="0" xfId="0" applyNumberFormat="1" applyFont="1" applyAlignment="1">
      <alignment vertical="center"/>
    </xf>
    <xf numFmtId="38" fontId="3" fillId="0" borderId="8" xfId="21" applyNumberFormat="1" applyFont="1" applyFill="1" applyBorder="1" applyAlignment="1">
      <alignment vertical="center"/>
    </xf>
    <xf numFmtId="0" fontId="0" fillId="0" borderId="0" xfId="0" applyAlignment="1">
      <alignment vertical="center"/>
    </xf>
    <xf numFmtId="0" fontId="3" fillId="0" borderId="0" xfId="21" applyFont="1" applyAlignment="1">
      <alignment vertical="center"/>
    </xf>
    <xf numFmtId="0" fontId="2" fillId="0" borderId="0" xfId="21" applyFont="1" applyAlignment="1">
      <alignment horizontal="left" vertical="center"/>
    </xf>
    <xf numFmtId="0" fontId="3" fillId="0" borderId="0" xfId="21" applyFont="1" applyFill="1" applyAlignment="1">
      <alignment vertical="center"/>
    </xf>
    <xf numFmtId="0" fontId="3" fillId="0" borderId="22" xfId="21" applyFont="1" applyBorder="1" applyAlignment="1">
      <alignment horizontal="right" vertical="center"/>
    </xf>
    <xf numFmtId="0" fontId="54" fillId="0" borderId="0" xfId="0" applyFont="1" applyAlignment="1">
      <alignment vertical="center"/>
    </xf>
    <xf numFmtId="38" fontId="3" fillId="0" borderId="7" xfId="21" applyNumberFormat="1" applyFont="1" applyBorder="1" applyAlignment="1">
      <alignment horizontal="center" vertical="center" wrapText="1"/>
    </xf>
    <xf numFmtId="38" fontId="3" fillId="0" borderId="8" xfId="21" applyNumberFormat="1" applyFont="1" applyBorder="1" applyAlignment="1">
      <alignment horizontal="center" vertical="center" wrapText="1"/>
    </xf>
    <xf numFmtId="40" fontId="3" fillId="0" borderId="7" xfId="21" applyNumberFormat="1" applyFont="1" applyBorder="1" applyAlignment="1">
      <alignment horizontal="center" vertical="center"/>
    </xf>
    <xf numFmtId="40" fontId="3" fillId="0" borderId="8" xfId="21" applyNumberFormat="1" applyFont="1" applyBorder="1" applyAlignment="1">
      <alignment horizontal="center" vertical="center"/>
    </xf>
    <xf numFmtId="38" fontId="2" fillId="0" borderId="0" xfId="21" applyNumberFormat="1" applyFont="1" applyAlignment="1">
      <alignment vertical="center"/>
    </xf>
    <xf numFmtId="0" fontId="2" fillId="0" borderId="0" xfId="21" applyFont="1" applyAlignment="1">
      <alignment vertical="center"/>
    </xf>
    <xf numFmtId="0" fontId="3" fillId="0" borderId="14" xfId="21" applyFont="1" applyBorder="1" applyAlignment="1">
      <alignment horizontal="center" vertical="center" wrapText="1"/>
    </xf>
    <xf numFmtId="0" fontId="44" fillId="0" borderId="3" xfId="0" applyFont="1" applyBorder="1" applyAlignment="1">
      <alignment horizontal="center" vertical="center"/>
    </xf>
    <xf numFmtId="0" fontId="44" fillId="0" borderId="17" xfId="0" applyFont="1" applyBorder="1" applyAlignment="1">
      <alignment horizontal="center" vertical="center"/>
    </xf>
    <xf numFmtId="0" fontId="44" fillId="0" borderId="17" xfId="0" applyFont="1" applyBorder="1" applyAlignment="1">
      <alignment horizontal="justify" vertical="center" wrapText="1"/>
    </xf>
    <xf numFmtId="0" fontId="49" fillId="0" borderId="11" xfId="0" applyFont="1" applyBorder="1" applyAlignment="1">
      <alignment horizontal="justify" vertical="center" wrapText="1"/>
    </xf>
    <xf numFmtId="0" fontId="45" fillId="0" borderId="5" xfId="0" applyFont="1" applyBorder="1" applyAlignment="1">
      <alignment vertical="center"/>
    </xf>
    <xf numFmtId="0" fontId="48" fillId="3" borderId="17" xfId="0" applyFont="1" applyFill="1" applyBorder="1" applyAlignment="1">
      <alignment vertical="center" wrapText="1"/>
    </xf>
    <xf numFmtId="0" fontId="3" fillId="0" borderId="3" xfId="22" applyFont="1" applyBorder="1" applyAlignment="1">
      <alignment horizontal="center" vertical="center"/>
    </xf>
    <xf numFmtId="0" fontId="46" fillId="0" borderId="3" xfId="0" applyFont="1" applyFill="1" applyBorder="1" applyAlignment="1">
      <alignment horizontal="justify" vertical="center" wrapText="1"/>
    </xf>
    <xf numFmtId="0" fontId="45" fillId="0" borderId="3" xfId="0" applyFont="1" applyBorder="1" applyAlignment="1">
      <alignment horizontal="center"/>
    </xf>
    <xf numFmtId="3" fontId="46" fillId="0" borderId="3" xfId="0" applyNumberFormat="1" applyFont="1" applyBorder="1" applyAlignment="1">
      <alignment vertical="center"/>
    </xf>
    <xf numFmtId="4" fontId="6" fillId="0" borderId="3" xfId="0" applyNumberFormat="1" applyFont="1" applyFill="1" applyBorder="1" applyAlignment="1">
      <alignment horizontal="center" vertical="center" wrapText="1"/>
    </xf>
    <xf numFmtId="4" fontId="6" fillId="0" borderId="14" xfId="0" applyNumberFormat="1" applyFont="1" applyFill="1" applyBorder="1" applyAlignment="1">
      <alignment horizontal="center" vertical="center" wrapText="1"/>
    </xf>
    <xf numFmtId="0" fontId="53" fillId="0" borderId="3" xfId="0" applyFont="1" applyFill="1" applyBorder="1" applyAlignment="1">
      <alignment horizontal="center" vertical="center"/>
    </xf>
    <xf numFmtId="172" fontId="46" fillId="0" borderId="3" xfId="0" applyNumberFormat="1" applyFont="1" applyBorder="1" applyAlignment="1">
      <alignment horizontal="right" vertical="center"/>
    </xf>
    <xf numFmtId="0" fontId="3" fillId="0" borderId="18" xfId="22" quotePrefix="1" applyFont="1" applyBorder="1" applyAlignment="1">
      <alignment horizontal="left" vertical="center"/>
    </xf>
    <xf numFmtId="0" fontId="3" fillId="0" borderId="18" xfId="22" quotePrefix="1" applyFont="1" applyBorder="1" applyAlignment="1">
      <alignment horizontal="center" vertical="center"/>
    </xf>
    <xf numFmtId="0" fontId="3" fillId="0" borderId="19" xfId="22" quotePrefix="1" applyFont="1" applyBorder="1" applyAlignment="1">
      <alignment horizontal="left" vertical="center"/>
    </xf>
    <xf numFmtId="0" fontId="3" fillId="0" borderId="20" xfId="22" quotePrefix="1" applyFont="1" applyBorder="1" applyAlignment="1">
      <alignment horizontal="center" vertical="center"/>
    </xf>
    <xf numFmtId="0" fontId="3" fillId="0" borderId="4" xfId="22" quotePrefix="1" applyFont="1" applyBorder="1" applyAlignment="1">
      <alignment horizontal="center" vertical="center"/>
    </xf>
    <xf numFmtId="0" fontId="3" fillId="0" borderId="3" xfId="22" quotePrefix="1" applyFont="1" applyBorder="1" applyAlignment="1">
      <alignment horizontal="center" vertical="center"/>
    </xf>
    <xf numFmtId="0" fontId="3" fillId="0" borderId="16" xfId="22" quotePrefix="1" applyFont="1" applyBorder="1" applyAlignment="1">
      <alignment horizontal="center" vertical="center"/>
    </xf>
    <xf numFmtId="0" fontId="3" fillId="0" borderId="9" xfId="22" quotePrefix="1" applyFont="1" applyBorder="1" applyAlignment="1">
      <alignment horizontal="center" vertical="center"/>
    </xf>
    <xf numFmtId="0" fontId="4" fillId="0" borderId="3" xfId="22" applyFont="1" applyBorder="1" applyAlignment="1">
      <alignment vertical="center" wrapText="1"/>
    </xf>
    <xf numFmtId="0" fontId="52" fillId="0" borderId="0" xfId="0" applyFont="1" applyAlignment="1">
      <alignment vertical="center"/>
    </xf>
    <xf numFmtId="0" fontId="52" fillId="0" borderId="0" xfId="0" applyFont="1" applyFill="1" applyAlignment="1">
      <alignment horizontal="left"/>
    </xf>
    <xf numFmtId="0" fontId="52" fillId="0" borderId="0" xfId="0" applyFont="1" applyAlignment="1">
      <alignment horizontal="left"/>
    </xf>
    <xf numFmtId="0" fontId="55" fillId="0" borderId="0" xfId="0" applyFont="1" applyAlignment="1">
      <alignment vertical="center"/>
    </xf>
    <xf numFmtId="0" fontId="52" fillId="0" borderId="0" xfId="0" applyFont="1" applyAlignment="1">
      <alignment horizontal="left" vertical="center"/>
    </xf>
    <xf numFmtId="184" fontId="5" fillId="0" borderId="11" xfId="0" applyNumberFormat="1" applyFont="1" applyBorder="1" applyAlignment="1">
      <alignment horizontal="center" vertical="center" wrapText="1"/>
    </xf>
    <xf numFmtId="40" fontId="45" fillId="3" borderId="9" xfId="0" applyNumberFormat="1" applyFont="1" applyFill="1" applyBorder="1" applyAlignment="1">
      <alignment horizontal="center" vertical="center"/>
    </xf>
    <xf numFmtId="3" fontId="46" fillId="0" borderId="3" xfId="0" applyNumberFormat="1" applyFont="1" applyBorder="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wrapText="1"/>
    </xf>
    <xf numFmtId="181" fontId="4" fillId="0" borderId="0" xfId="0" applyNumberFormat="1" applyFont="1" applyAlignment="1">
      <alignment vertical="center"/>
    </xf>
    <xf numFmtId="2" fontId="5" fillId="0" borderId="4" xfId="0" applyNumberFormat="1" applyFont="1" applyBorder="1" applyAlignment="1">
      <alignment horizontal="center" vertical="center" wrapText="1"/>
    </xf>
    <xf numFmtId="2" fontId="5" fillId="0" borderId="17" xfId="0" applyNumberFormat="1" applyFont="1" applyBorder="1" applyAlignment="1">
      <alignment horizontal="center" vertical="center" wrapText="1"/>
    </xf>
    <xf numFmtId="2" fontId="5" fillId="0" borderId="3" xfId="0" quotePrefix="1" applyNumberFormat="1" applyFont="1" applyBorder="1" applyAlignment="1">
      <alignment horizontal="center" vertical="center"/>
    </xf>
    <xf numFmtId="2" fontId="5" fillId="0" borderId="3" xfId="0" applyNumberFormat="1" applyFont="1" applyBorder="1" applyAlignment="1">
      <alignment horizontal="center" vertical="center" wrapText="1"/>
    </xf>
    <xf numFmtId="0" fontId="5" fillId="0" borderId="9" xfId="0" applyFont="1" applyBorder="1" applyAlignment="1">
      <alignment horizontal="center" vertical="center"/>
    </xf>
    <xf numFmtId="179" fontId="5" fillId="0" borderId="9" xfId="0" applyNumberFormat="1" applyFont="1" applyBorder="1" applyAlignment="1">
      <alignment horizontal="justify" vertical="center" wrapText="1"/>
    </xf>
    <xf numFmtId="179" fontId="5" fillId="0" borderId="9" xfId="0" applyNumberFormat="1" applyFont="1" applyBorder="1" applyAlignment="1">
      <alignment horizontal="center" vertical="center"/>
    </xf>
    <xf numFmtId="179" fontId="5" fillId="0" borderId="9" xfId="0" applyNumberFormat="1" applyFont="1" applyBorder="1" applyAlignment="1">
      <alignment horizontal="left" vertical="center"/>
    </xf>
    <xf numFmtId="179" fontId="5" fillId="0" borderId="11" xfId="0" applyNumberFormat="1" applyFont="1" applyBorder="1" applyAlignment="1">
      <alignment horizontal="left" vertical="center"/>
    </xf>
    <xf numFmtId="179" fontId="5" fillId="0" borderId="11" xfId="0" applyNumberFormat="1" applyFont="1" applyBorder="1" applyAlignment="1">
      <alignment horizontal="center" vertical="center"/>
    </xf>
    <xf numFmtId="179" fontId="5" fillId="0" borderId="10" xfId="0" applyNumberFormat="1" applyFont="1" applyBorder="1" applyAlignment="1">
      <alignment horizontal="left" vertical="center"/>
    </xf>
    <xf numFmtId="179" fontId="5" fillId="0" borderId="10" xfId="0" applyNumberFormat="1" applyFont="1" applyBorder="1" applyAlignment="1">
      <alignment horizontal="center" vertical="center"/>
    </xf>
    <xf numFmtId="172" fontId="5" fillId="0" borderId="10" xfId="0" applyNumberFormat="1" applyFont="1" applyBorder="1" applyAlignment="1">
      <alignment vertical="center"/>
    </xf>
    <xf numFmtId="179" fontId="5" fillId="0" borderId="10" xfId="0" applyNumberFormat="1" applyFont="1" applyBorder="1" applyAlignment="1">
      <alignment vertical="center"/>
    </xf>
    <xf numFmtId="172" fontId="31" fillId="0" borderId="3" xfId="0" applyNumberFormat="1" applyFont="1" applyBorder="1" applyAlignment="1">
      <alignment horizontal="right" vertical="center"/>
    </xf>
    <xf numFmtId="2" fontId="5" fillId="0" borderId="5" xfId="0" quotePrefix="1" applyNumberFormat="1" applyFont="1" applyFill="1" applyBorder="1" applyAlignment="1">
      <alignment horizontal="center" vertical="center"/>
    </xf>
    <xf numFmtId="2" fontId="5" fillId="0" borderId="3" xfId="0" applyNumberFormat="1" applyFont="1" applyFill="1" applyBorder="1" applyAlignment="1">
      <alignment horizontal="center" vertical="center" wrapText="1"/>
    </xf>
    <xf numFmtId="0" fontId="0" fillId="0" borderId="0" xfId="0" applyFont="1"/>
    <xf numFmtId="181" fontId="5" fillId="0" borderId="0" xfId="0" applyNumberFormat="1" applyFont="1"/>
    <xf numFmtId="4" fontId="5" fillId="0" borderId="0" xfId="0" applyNumberFormat="1" applyFont="1"/>
    <xf numFmtId="0" fontId="5" fillId="0" borderId="0" xfId="0" applyFont="1" applyAlignment="1">
      <alignment horizontal="left"/>
    </xf>
    <xf numFmtId="0" fontId="0" fillId="0" borderId="16" xfId="0" applyFont="1" applyBorder="1"/>
    <xf numFmtId="0" fontId="0" fillId="0" borderId="9" xfId="0" applyFont="1" applyBorder="1"/>
    <xf numFmtId="2" fontId="31" fillId="0" borderId="0" xfId="0" applyNumberFormat="1" applyFont="1" applyBorder="1" applyAlignment="1">
      <alignment horizontal="left" vertical="center" wrapText="1"/>
    </xf>
    <xf numFmtId="2" fontId="31" fillId="0" borderId="23" xfId="0" applyNumberFormat="1" applyFont="1" applyBorder="1" applyAlignment="1">
      <alignment horizontal="left" vertical="center" wrapText="1"/>
    </xf>
    <xf numFmtId="172" fontId="31" fillId="0" borderId="0" xfId="0" applyNumberFormat="1" applyFont="1" applyBorder="1" applyAlignment="1">
      <alignment horizontal="right" vertical="center"/>
    </xf>
    <xf numFmtId="172" fontId="5" fillId="0" borderId="0" xfId="0" applyNumberFormat="1" applyFont="1" applyBorder="1" applyAlignment="1">
      <alignment vertical="center"/>
    </xf>
    <xf numFmtId="0" fontId="46" fillId="0" borderId="17" xfId="0" applyFont="1" applyBorder="1" applyAlignment="1">
      <alignment horizontal="center" vertical="center" wrapText="1"/>
    </xf>
    <xf numFmtId="0" fontId="46" fillId="0" borderId="17" xfId="0" applyFont="1" applyBorder="1" applyAlignment="1">
      <alignment vertical="center" wrapText="1"/>
    </xf>
    <xf numFmtId="0" fontId="46" fillId="0" borderId="3" xfId="0" applyNumberFormat="1" applyFont="1" applyBorder="1" applyAlignment="1">
      <alignment horizontal="justify" vertical="center" wrapText="1"/>
    </xf>
    <xf numFmtId="0" fontId="46" fillId="0" borderId="3" xfId="0" applyFont="1" applyFill="1" applyBorder="1" applyAlignment="1">
      <alignment horizontal="center" vertical="center" wrapText="1"/>
    </xf>
    <xf numFmtId="0" fontId="54" fillId="0" borderId="0" xfId="0" applyFont="1"/>
    <xf numFmtId="0" fontId="46" fillId="0" borderId="2" xfId="0" applyFont="1" applyBorder="1" applyAlignment="1">
      <alignment horizontal="justify" vertical="center" wrapText="1"/>
    </xf>
    <xf numFmtId="0" fontId="46" fillId="0" borderId="17" xfId="0" applyFont="1" applyBorder="1" applyAlignment="1">
      <alignment horizontal="center" vertical="center"/>
    </xf>
    <xf numFmtId="4" fontId="45" fillId="0" borderId="3" xfId="0" applyNumberFormat="1" applyFont="1" applyBorder="1" applyAlignment="1">
      <alignment horizontal="center" vertical="center"/>
    </xf>
    <xf numFmtId="0" fontId="53" fillId="0" borderId="3" xfId="0" applyFont="1" applyBorder="1" applyAlignment="1">
      <alignment horizontal="center" vertical="center" wrapText="1"/>
    </xf>
    <xf numFmtId="0" fontId="49" fillId="0" borderId="3" xfId="0" applyFont="1" applyBorder="1" applyAlignment="1">
      <alignment horizontal="center" vertical="center" wrapText="1"/>
    </xf>
    <xf numFmtId="4" fontId="46" fillId="0" borderId="3" xfId="0" applyNumberFormat="1" applyFont="1" applyBorder="1" applyAlignment="1">
      <alignment horizontal="center" vertical="center"/>
    </xf>
    <xf numFmtId="0" fontId="2" fillId="0" borderId="3" xfId="22" applyFont="1" applyBorder="1" applyAlignment="1">
      <alignment horizontal="center" vertical="center" wrapText="1"/>
    </xf>
    <xf numFmtId="4" fontId="3" fillId="0" borderId="3" xfId="22" applyNumberFormat="1" applyFont="1" applyBorder="1" applyAlignment="1">
      <alignment horizontal="center" vertical="center" wrapText="1"/>
    </xf>
    <xf numFmtId="4" fontId="44" fillId="0" borderId="3" xfId="0" applyNumberFormat="1" applyFont="1" applyBorder="1" applyAlignment="1">
      <alignment horizontal="center" vertical="center"/>
    </xf>
    <xf numFmtId="0" fontId="46" fillId="0" borderId="17" xfId="0" applyFont="1" applyBorder="1" applyAlignment="1">
      <alignment vertical="center"/>
    </xf>
    <xf numFmtId="0" fontId="46" fillId="0" borderId="2" xfId="0" applyFont="1" applyBorder="1" applyAlignment="1">
      <alignment vertical="center" wrapText="1"/>
    </xf>
    <xf numFmtId="203" fontId="46" fillId="0" borderId="17" xfId="0" applyNumberFormat="1" applyFont="1" applyBorder="1" applyAlignment="1">
      <alignment horizontal="center" vertical="center" wrapText="1"/>
    </xf>
    <xf numFmtId="197" fontId="46" fillId="0" borderId="17" xfId="0" applyNumberFormat="1" applyFont="1" applyBorder="1" applyAlignment="1">
      <alignment horizontal="center" vertical="center" wrapText="1"/>
    </xf>
    <xf numFmtId="4" fontId="45" fillId="0" borderId="3" xfId="0" applyNumberFormat="1" applyFont="1" applyBorder="1" applyAlignment="1">
      <alignment horizontal="center" vertical="center" wrapText="1"/>
    </xf>
    <xf numFmtId="4" fontId="49" fillId="0" borderId="3" xfId="0" applyNumberFormat="1" applyFont="1" applyBorder="1" applyAlignment="1">
      <alignment horizontal="center" vertical="center" wrapText="1"/>
    </xf>
    <xf numFmtId="0" fontId="53" fillId="0" borderId="3" xfId="0" applyFont="1" applyBorder="1" applyAlignment="1">
      <alignment horizontal="center" vertical="center"/>
    </xf>
    <xf numFmtId="180" fontId="3" fillId="0" borderId="0" xfId="22" applyNumberFormat="1" applyFont="1" applyBorder="1" applyAlignment="1">
      <alignment horizontal="center" vertical="center"/>
    </xf>
    <xf numFmtId="180" fontId="2" fillId="0" borderId="0" xfId="22" applyNumberFormat="1" applyFont="1" applyBorder="1" applyAlignment="1">
      <alignment horizontal="left" vertical="center" wrapText="1"/>
    </xf>
    <xf numFmtId="172" fontId="2" fillId="0" borderId="0" xfId="22" applyNumberFormat="1" applyFont="1" applyBorder="1" applyAlignment="1">
      <alignment horizontal="right" vertical="center"/>
    </xf>
    <xf numFmtId="2" fontId="53" fillId="0" borderId="2" xfId="0" applyNumberFormat="1" applyFont="1" applyBorder="1" applyAlignment="1">
      <alignment horizontal="justify" vertical="center" wrapText="1"/>
    </xf>
    <xf numFmtId="0" fontId="53" fillId="0" borderId="2" xfId="0" applyFont="1" applyBorder="1" applyAlignment="1">
      <alignment horizontal="justify" vertical="center" wrapText="1"/>
    </xf>
    <xf numFmtId="2" fontId="4" fillId="0" borderId="4" xfId="0" applyNumberFormat="1" applyFont="1" applyBorder="1" applyAlignment="1">
      <alignment horizontal="center" vertical="center" wrapText="1"/>
    </xf>
    <xf numFmtId="2" fontId="4" fillId="0" borderId="17" xfId="0" applyNumberFormat="1" applyFont="1" applyBorder="1" applyAlignment="1">
      <alignment horizontal="center" vertical="center" wrapText="1"/>
    </xf>
    <xf numFmtId="0" fontId="4" fillId="0" borderId="3" xfId="0" applyFont="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3" xfId="0" quotePrefix="1" applyNumberFormat="1" applyFont="1" applyBorder="1" applyAlignment="1">
      <alignment horizontal="center" vertical="center"/>
    </xf>
    <xf numFmtId="2" fontId="4" fillId="0" borderId="3" xfId="0" applyNumberFormat="1" applyFont="1" applyBorder="1" applyAlignment="1">
      <alignment horizontal="center" vertical="center" wrapText="1"/>
    </xf>
    <xf numFmtId="2" fontId="4" fillId="0" borderId="5" xfId="0" quotePrefix="1" applyNumberFormat="1" applyFont="1" applyFill="1" applyBorder="1" applyAlignment="1">
      <alignment horizontal="center" vertical="center"/>
    </xf>
    <xf numFmtId="179" fontId="4" fillId="0" borderId="9" xfId="0" applyNumberFormat="1" applyFont="1" applyBorder="1" applyAlignment="1">
      <alignment horizontal="justify" vertical="center" wrapText="1"/>
    </xf>
    <xf numFmtId="179" fontId="4" fillId="0" borderId="9" xfId="0" applyNumberFormat="1" applyFont="1" applyBorder="1" applyAlignment="1">
      <alignment horizontal="center" vertical="center"/>
    </xf>
    <xf numFmtId="172" fontId="4" fillId="0" borderId="9" xfId="0" applyNumberFormat="1" applyFont="1" applyBorder="1" applyAlignment="1">
      <alignment vertical="center"/>
    </xf>
    <xf numFmtId="0" fontId="54" fillId="0" borderId="16" xfId="0" applyFont="1" applyBorder="1"/>
    <xf numFmtId="179" fontId="4" fillId="0" borderId="9" xfId="0" applyNumberFormat="1" applyFont="1" applyBorder="1" applyAlignment="1">
      <alignment horizontal="left" vertical="center"/>
    </xf>
    <xf numFmtId="0" fontId="54" fillId="0" borderId="9" xfId="0" applyFont="1" applyBorder="1"/>
    <xf numFmtId="179" fontId="4" fillId="0" borderId="10" xfId="0" applyNumberFormat="1" applyFont="1" applyBorder="1" applyAlignment="1">
      <alignment horizontal="left" vertical="center"/>
    </xf>
    <xf numFmtId="179" fontId="4" fillId="0" borderId="10" xfId="0" applyNumberFormat="1" applyFont="1" applyBorder="1" applyAlignment="1">
      <alignment horizontal="center" vertical="center"/>
    </xf>
    <xf numFmtId="179" fontId="4" fillId="0" borderId="10" xfId="0" applyNumberFormat="1" applyFont="1" applyBorder="1" applyAlignment="1">
      <alignment vertical="center"/>
    </xf>
    <xf numFmtId="172" fontId="4" fillId="0" borderId="10" xfId="0" applyNumberFormat="1" applyFont="1" applyBorder="1" applyAlignment="1">
      <alignment vertical="center"/>
    </xf>
    <xf numFmtId="172" fontId="6" fillId="0" borderId="17" xfId="0" applyNumberFormat="1" applyFont="1" applyBorder="1" applyAlignment="1">
      <alignment horizontal="right" vertical="center"/>
    </xf>
    <xf numFmtId="172" fontId="6" fillId="0" borderId="3" xfId="0" applyNumberFormat="1" applyFont="1" applyBorder="1" applyAlignment="1">
      <alignment horizontal="right" vertical="center"/>
    </xf>
    <xf numFmtId="184" fontId="3" fillId="0" borderId="10" xfId="0" applyNumberFormat="1" applyFont="1" applyFill="1" applyBorder="1" applyAlignment="1">
      <alignment vertical="center"/>
    </xf>
    <xf numFmtId="0" fontId="45" fillId="0" borderId="3" xfId="0" applyFont="1" applyBorder="1" applyAlignment="1">
      <alignment vertical="center"/>
    </xf>
    <xf numFmtId="3" fontId="52" fillId="0" borderId="3" xfId="0" applyNumberFormat="1" applyFont="1" applyBorder="1" applyAlignment="1">
      <alignment vertical="center"/>
    </xf>
    <xf numFmtId="0" fontId="44" fillId="0" borderId="3" xfId="0" applyFont="1" applyBorder="1" applyAlignment="1">
      <alignment vertical="center"/>
    </xf>
    <xf numFmtId="184" fontId="5" fillId="0" borderId="10" xfId="0" applyNumberFormat="1" applyFont="1" applyBorder="1" applyAlignment="1">
      <alignment vertical="center"/>
    </xf>
    <xf numFmtId="184" fontId="4" fillId="0" borderId="10" xfId="0" applyNumberFormat="1" applyFont="1" applyBorder="1" applyAlignment="1">
      <alignment vertical="center"/>
    </xf>
    <xf numFmtId="4" fontId="3" fillId="0" borderId="3" xfId="22" applyNumberFormat="1" applyFont="1" applyBorder="1" applyAlignment="1">
      <alignment vertical="center"/>
    </xf>
    <xf numFmtId="3" fontId="2" fillId="0" borderId="3" xfId="22" applyNumberFormat="1" applyFont="1" applyBorder="1" applyAlignment="1">
      <alignment vertical="center"/>
    </xf>
    <xf numFmtId="0" fontId="3" fillId="0" borderId="0" xfId="22" applyFont="1" applyBorder="1" applyAlignment="1">
      <alignment horizontal="center" vertical="center"/>
    </xf>
    <xf numFmtId="0" fontId="2" fillId="0" borderId="0" xfId="22" applyFont="1" applyBorder="1" applyAlignment="1">
      <alignment horizontal="left" vertical="center" wrapText="1"/>
    </xf>
    <xf numFmtId="4" fontId="3" fillId="0" borderId="0" xfId="22" applyNumberFormat="1" applyFont="1" applyBorder="1" applyAlignment="1">
      <alignment vertical="center"/>
    </xf>
    <xf numFmtId="3" fontId="2" fillId="0" borderId="0" xfId="22" applyNumberFormat="1" applyFont="1" applyBorder="1" applyAlignment="1">
      <alignment vertical="center"/>
    </xf>
    <xf numFmtId="0" fontId="54" fillId="0" borderId="0" xfId="0" applyFont="1" applyAlignment="1">
      <alignment horizontal="left"/>
    </xf>
    <xf numFmtId="0" fontId="54" fillId="0" borderId="0" xfId="0" applyFont="1" applyAlignment="1">
      <alignment horizontal="left" vertical="center"/>
    </xf>
    <xf numFmtId="185" fontId="4" fillId="0" borderId="9" xfId="0" applyNumberFormat="1" applyFont="1" applyBorder="1" applyAlignment="1">
      <alignment vertical="center"/>
    </xf>
    <xf numFmtId="179" fontId="4" fillId="0" borderId="11" xfId="0" applyNumberFormat="1" applyFont="1" applyBorder="1" applyAlignment="1">
      <alignment horizontal="left" vertical="center"/>
    </xf>
    <xf numFmtId="179" fontId="4" fillId="0" borderId="11" xfId="0" applyNumberFormat="1" applyFont="1" applyBorder="1" applyAlignment="1">
      <alignment horizontal="center" vertical="center"/>
    </xf>
    <xf numFmtId="3" fontId="5" fillId="0" borderId="9" xfId="0" applyNumberFormat="1" applyFont="1" applyBorder="1" applyAlignment="1">
      <alignment vertical="center"/>
    </xf>
    <xf numFmtId="3" fontId="0" fillId="0" borderId="0" xfId="0" applyNumberFormat="1"/>
    <xf numFmtId="172" fontId="49" fillId="0" borderId="0" xfId="0" applyNumberFormat="1" applyFont="1" applyBorder="1" applyAlignment="1">
      <alignment horizontal="right" vertical="center"/>
    </xf>
    <xf numFmtId="172" fontId="4" fillId="0" borderId="10" xfId="0" applyNumberFormat="1" applyFont="1" applyBorder="1" applyAlignment="1">
      <alignment horizontal="right" vertical="center"/>
    </xf>
    <xf numFmtId="172" fontId="53" fillId="0" borderId="3" xfId="0" applyNumberFormat="1" applyFont="1" applyBorder="1" applyAlignment="1">
      <alignment horizontal="right" vertical="center"/>
    </xf>
    <xf numFmtId="0" fontId="56" fillId="0" borderId="0" xfId="0" applyFont="1"/>
    <xf numFmtId="0" fontId="36" fillId="0" borderId="0" xfId="0" applyFont="1"/>
    <xf numFmtId="0" fontId="55" fillId="0" borderId="17" xfId="0" applyFont="1" applyBorder="1" applyAlignment="1">
      <alignment horizontal="center" vertical="center" wrapText="1"/>
    </xf>
    <xf numFmtId="0" fontId="55" fillId="0" borderId="3" xfId="0" applyFont="1" applyBorder="1" applyAlignment="1">
      <alignment horizontal="center" vertical="center"/>
    </xf>
    <xf numFmtId="3" fontId="55" fillId="0" borderId="3" xfId="0" applyNumberFormat="1" applyFont="1" applyBorder="1" applyAlignment="1">
      <alignment horizontal="right" vertical="center"/>
    </xf>
    <xf numFmtId="2" fontId="6" fillId="0" borderId="0" xfId="0" applyNumberFormat="1" applyFont="1" applyBorder="1" applyAlignment="1">
      <alignment horizontal="center" vertical="center" wrapText="1"/>
    </xf>
    <xf numFmtId="2" fontId="6" fillId="0" borderId="23" xfId="0" applyNumberFormat="1" applyFont="1" applyBorder="1" applyAlignment="1">
      <alignment horizontal="center" vertical="center" wrapText="1"/>
    </xf>
    <xf numFmtId="172" fontId="6" fillId="0" borderId="0" xfId="0" applyNumberFormat="1" applyFont="1" applyBorder="1" applyAlignment="1">
      <alignment horizontal="right" vertical="center"/>
    </xf>
    <xf numFmtId="2" fontId="4" fillId="0" borderId="4" xfId="0" applyNumberFormat="1" applyFont="1" applyFill="1" applyBorder="1" applyAlignment="1">
      <alignment horizontal="center" vertical="center" wrapText="1"/>
    </xf>
    <xf numFmtId="0" fontId="46" fillId="0" borderId="3" xfId="0" quotePrefix="1" applyFont="1" applyBorder="1" applyAlignment="1">
      <alignment horizontal="center" vertical="center"/>
    </xf>
    <xf numFmtId="0" fontId="46" fillId="0" borderId="11" xfId="0" applyFont="1" applyBorder="1" applyAlignment="1">
      <alignment vertical="center"/>
    </xf>
    <xf numFmtId="0" fontId="46" fillId="0" borderId="9" xfId="0" applyFont="1" applyBorder="1" applyAlignment="1">
      <alignment vertical="center"/>
    </xf>
    <xf numFmtId="172" fontId="53" fillId="0" borderId="3" xfId="0" applyNumberFormat="1" applyFont="1" applyBorder="1" applyAlignment="1">
      <alignment vertical="center"/>
    </xf>
    <xf numFmtId="172" fontId="53" fillId="0" borderId="0" xfId="0" applyNumberFormat="1" applyFont="1" applyBorder="1" applyAlignment="1">
      <alignment vertical="center"/>
    </xf>
    <xf numFmtId="3" fontId="56" fillId="0" borderId="3" xfId="0" applyNumberFormat="1" applyFont="1" applyBorder="1" applyAlignment="1">
      <alignment horizontal="right" vertical="center"/>
    </xf>
    <xf numFmtId="0" fontId="2" fillId="0" borderId="0" xfId="0" applyFont="1" applyAlignment="1">
      <alignment horizontal="left" vertical="center" wrapText="1"/>
    </xf>
    <xf numFmtId="0" fontId="55" fillId="0" borderId="3" xfId="0" applyFont="1" applyBorder="1" applyAlignment="1">
      <alignment horizontal="center" vertical="center"/>
    </xf>
    <xf numFmtId="0" fontId="56" fillId="0" borderId="3" xfId="0" applyFont="1" applyBorder="1" applyAlignment="1">
      <alignment horizontal="center" vertical="center"/>
    </xf>
    <xf numFmtId="0" fontId="36" fillId="0" borderId="4" xfId="0" applyFont="1" applyBorder="1" applyAlignment="1">
      <alignment horizontal="center" vertical="center" wrapText="1"/>
    </xf>
    <xf numFmtId="4" fontId="36" fillId="0" borderId="4" xfId="0" applyNumberFormat="1" applyFont="1" applyBorder="1" applyAlignment="1">
      <alignment horizontal="center" vertical="center" wrapText="1"/>
    </xf>
    <xf numFmtId="4" fontId="36" fillId="0" borderId="4" xfId="0" applyNumberFormat="1" applyFont="1" applyFill="1" applyBorder="1" applyAlignment="1">
      <alignment horizontal="center" vertical="center" wrapText="1"/>
    </xf>
    <xf numFmtId="0" fontId="36" fillId="0" borderId="3" xfId="0" quotePrefix="1" applyNumberFormat="1" applyFont="1" applyBorder="1" applyAlignment="1">
      <alignment horizontal="center" vertical="center"/>
    </xf>
    <xf numFmtId="0" fontId="36" fillId="0" borderId="3" xfId="0" quotePrefix="1" applyNumberFormat="1" applyFont="1" applyFill="1" applyBorder="1" applyAlignment="1">
      <alignment horizontal="center" vertical="center"/>
    </xf>
    <xf numFmtId="0" fontId="36" fillId="0" borderId="3" xfId="0" applyNumberFormat="1" applyFont="1" applyBorder="1" applyAlignment="1">
      <alignment horizontal="center" vertical="center"/>
    </xf>
    <xf numFmtId="0" fontId="36" fillId="3" borderId="11" xfId="0" applyFont="1" applyFill="1" applyBorder="1" applyAlignment="1">
      <alignment horizontal="center" vertical="center" wrapText="1"/>
    </xf>
    <xf numFmtId="0" fontId="36" fillId="3" borderId="11" xfId="0" applyFont="1" applyFill="1" applyBorder="1" applyAlignment="1">
      <alignment vertical="center" wrapText="1"/>
    </xf>
    <xf numFmtId="172" fontId="36" fillId="0" borderId="11" xfId="0" applyNumberFormat="1" applyFont="1" applyFill="1" applyBorder="1" applyAlignment="1">
      <alignment vertical="center"/>
    </xf>
    <xf numFmtId="184" fontId="36" fillId="0" borderId="11" xfId="0" applyNumberFormat="1" applyFont="1" applyBorder="1" applyAlignment="1">
      <alignment vertical="center"/>
    </xf>
    <xf numFmtId="172" fontId="36" fillId="0" borderId="9" xfId="0" applyNumberFormat="1" applyFont="1" applyBorder="1" applyAlignment="1">
      <alignment vertical="center"/>
    </xf>
    <xf numFmtId="3" fontId="36" fillId="0" borderId="11" xfId="0" applyNumberFormat="1" applyFont="1" applyBorder="1" applyAlignment="1">
      <alignment vertical="center"/>
    </xf>
    <xf numFmtId="0" fontId="36" fillId="3" borderId="9" xfId="0" applyFont="1" applyFill="1" applyBorder="1" applyAlignment="1">
      <alignment horizontal="center" vertical="center" wrapText="1"/>
    </xf>
    <xf numFmtId="0" fontId="36" fillId="3" borderId="9" xfId="0" applyFont="1" applyFill="1" applyBorder="1" applyAlignment="1">
      <alignment vertical="center" wrapText="1"/>
    </xf>
    <xf numFmtId="172" fontId="36" fillId="0" borderId="9" xfId="0" applyNumberFormat="1" applyFont="1" applyFill="1" applyBorder="1" applyAlignment="1">
      <alignment vertical="center"/>
    </xf>
    <xf numFmtId="3" fontId="36" fillId="0" borderId="9" xfId="0" applyNumberFormat="1" applyFont="1" applyBorder="1" applyAlignment="1">
      <alignment vertical="center"/>
    </xf>
    <xf numFmtId="3" fontId="36" fillId="4" borderId="9" xfId="0" applyNumberFormat="1" applyFont="1" applyFill="1" applyBorder="1" applyAlignment="1">
      <alignment vertical="center"/>
    </xf>
    <xf numFmtId="0" fontId="36" fillId="3" borderId="10" xfId="0" applyFont="1" applyFill="1" applyBorder="1" applyAlignment="1">
      <alignment vertical="center" wrapText="1"/>
    </xf>
    <xf numFmtId="0" fontId="36" fillId="3" borderId="10" xfId="0" applyFont="1" applyFill="1" applyBorder="1" applyAlignment="1">
      <alignment horizontal="center" vertical="center" wrapText="1"/>
    </xf>
    <xf numFmtId="184" fontId="36" fillId="0" borderId="10" xfId="0" applyNumberFormat="1" applyFont="1" applyFill="1" applyBorder="1" applyAlignment="1">
      <alignment vertical="center"/>
    </xf>
    <xf numFmtId="179" fontId="36" fillId="0" borderId="11" xfId="0" applyNumberFormat="1" applyFont="1" applyBorder="1" applyAlignment="1">
      <alignment vertical="center"/>
    </xf>
    <xf numFmtId="172" fontId="36" fillId="0" borderId="10" xfId="0" applyNumberFormat="1" applyFont="1" applyBorder="1" applyAlignment="1">
      <alignment vertical="center"/>
    </xf>
    <xf numFmtId="0" fontId="36" fillId="0" borderId="3" xfId="0" applyFont="1" applyBorder="1" applyAlignment="1">
      <alignment horizontal="center"/>
    </xf>
    <xf numFmtId="172" fontId="35" fillId="0" borderId="3" xfId="0" applyNumberFormat="1" applyFont="1" applyBorder="1" applyAlignment="1">
      <alignment horizontal="right" vertical="center"/>
    </xf>
    <xf numFmtId="3" fontId="35" fillId="0" borderId="3" xfId="0" applyNumberFormat="1" applyFont="1" applyBorder="1" applyAlignment="1">
      <alignment horizontal="right" vertical="center"/>
    </xf>
    <xf numFmtId="0" fontId="56" fillId="0" borderId="3" xfId="0" applyFont="1" applyBorder="1" applyAlignment="1">
      <alignment vertical="center"/>
    </xf>
    <xf numFmtId="4" fontId="55" fillId="0" borderId="3" xfId="0" applyNumberFormat="1" applyFont="1" applyBorder="1" applyAlignment="1">
      <alignment vertical="center"/>
    </xf>
    <xf numFmtId="3" fontId="55" fillId="0" borderId="3" xfId="0" applyNumberFormat="1" applyFont="1" applyBorder="1" applyAlignment="1">
      <alignment vertical="center"/>
    </xf>
    <xf numFmtId="0" fontId="56" fillId="0" borderId="17" xfId="0" applyFont="1" applyBorder="1" applyAlignment="1">
      <alignment horizontal="justify" vertical="center" wrapText="1"/>
    </xf>
    <xf numFmtId="0" fontId="56" fillId="0" borderId="3" xfId="0" applyFont="1" applyBorder="1" applyAlignment="1">
      <alignment horizontal="center" vertical="center" wrapText="1"/>
    </xf>
    <xf numFmtId="3" fontId="36" fillId="0" borderId="3" xfId="0" applyNumberFormat="1" applyFont="1" applyBorder="1" applyAlignment="1">
      <alignment vertical="center"/>
    </xf>
    <xf numFmtId="0" fontId="55" fillId="0" borderId="17" xfId="0" applyFont="1" applyBorder="1" applyAlignment="1">
      <alignment horizontal="center" vertical="center"/>
    </xf>
    <xf numFmtId="40" fontId="36" fillId="3" borderId="11" xfId="0" applyNumberFormat="1" applyFont="1" applyFill="1" applyBorder="1" applyAlignment="1">
      <alignment horizontal="center" vertical="center"/>
    </xf>
    <xf numFmtId="4" fontId="36" fillId="0" borderId="11" xfId="0" applyNumberFormat="1" applyFont="1" applyBorder="1" applyAlignment="1">
      <alignment vertical="center"/>
    </xf>
    <xf numFmtId="4" fontId="36" fillId="0" borderId="9" xfId="0" applyNumberFormat="1" applyFont="1" applyBorder="1" applyAlignment="1">
      <alignment vertical="center"/>
    </xf>
    <xf numFmtId="40" fontId="36" fillId="3" borderId="9" xfId="0" applyNumberFormat="1" applyFont="1" applyFill="1" applyBorder="1" applyAlignment="1">
      <alignment horizontal="center" vertical="center"/>
    </xf>
    <xf numFmtId="40" fontId="36" fillId="3" borderId="10" xfId="0" applyNumberFormat="1" applyFont="1" applyFill="1" applyBorder="1" applyAlignment="1">
      <alignment horizontal="center" vertical="center"/>
    </xf>
    <xf numFmtId="4" fontId="36" fillId="0" borderId="10" xfId="0" applyNumberFormat="1" applyFont="1" applyBorder="1" applyAlignment="1">
      <alignment vertical="center"/>
    </xf>
    <xf numFmtId="0" fontId="56" fillId="0" borderId="3" xfId="0" applyFont="1" applyBorder="1"/>
    <xf numFmtId="3" fontId="55" fillId="0" borderId="3" xfId="0" applyNumberFormat="1" applyFont="1" applyBorder="1"/>
    <xf numFmtId="0" fontId="56" fillId="0" borderId="0" xfId="0" applyFont="1" applyAlignment="1">
      <alignment vertical="center"/>
    </xf>
    <xf numFmtId="0" fontId="56" fillId="0" borderId="0" xfId="0" applyFont="1" applyBorder="1"/>
    <xf numFmtId="0" fontId="55" fillId="0" borderId="0" xfId="0" applyFont="1" applyBorder="1" applyAlignment="1">
      <alignment horizontal="left" vertical="center"/>
    </xf>
    <xf numFmtId="3" fontId="55" fillId="0" borderId="0" xfId="0" applyNumberFormat="1" applyFont="1" applyBorder="1"/>
    <xf numFmtId="0" fontId="3" fillId="0" borderId="0" xfId="22" applyFont="1" applyAlignment="1">
      <alignment horizontal="right" vertical="center"/>
    </xf>
    <xf numFmtId="0" fontId="36" fillId="0" borderId="4" xfId="0" applyFont="1" applyBorder="1" applyAlignment="1">
      <alignment horizontal="center" vertical="center"/>
    </xf>
    <xf numFmtId="184" fontId="36" fillId="0" borderId="9" xfId="0" applyNumberFormat="1" applyFont="1" applyBorder="1" applyAlignment="1">
      <alignment vertical="center"/>
    </xf>
    <xf numFmtId="4" fontId="36" fillId="4" borderId="9" xfId="0" applyNumberFormat="1" applyFont="1" applyFill="1" applyBorder="1" applyAlignment="1">
      <alignment vertical="center"/>
    </xf>
    <xf numFmtId="0" fontId="55" fillId="0" borderId="3" xfId="0" applyFont="1" applyBorder="1" applyAlignment="1">
      <alignment vertical="center"/>
    </xf>
    <xf numFmtId="0" fontId="57" fillId="0" borderId="0" xfId="0" applyFont="1"/>
    <xf numFmtId="0" fontId="58" fillId="0" borderId="0" xfId="0" applyFont="1"/>
    <xf numFmtId="0" fontId="59" fillId="0" borderId="0" xfId="0" applyFont="1" applyAlignment="1">
      <alignment vertical="center"/>
    </xf>
    <xf numFmtId="0" fontId="57" fillId="0" borderId="0" xfId="0" applyFont="1" applyAlignment="1">
      <alignment vertical="center"/>
    </xf>
    <xf numFmtId="0" fontId="59" fillId="0" borderId="0" xfId="0" applyFont="1"/>
    <xf numFmtId="0" fontId="43" fillId="0" borderId="0" xfId="0" applyFont="1"/>
    <xf numFmtId="172" fontId="60" fillId="0" borderId="0" xfId="0" applyNumberFormat="1" applyFont="1" applyBorder="1" applyAlignment="1">
      <alignment horizontal="right" vertical="center"/>
    </xf>
    <xf numFmtId="0" fontId="43" fillId="0" borderId="0" xfId="0" applyFont="1" applyBorder="1"/>
    <xf numFmtId="4" fontId="59" fillId="0" borderId="0" xfId="22" applyNumberFormat="1" applyFont="1" applyAlignment="1">
      <alignment vertical="center"/>
    </xf>
    <xf numFmtId="207" fontId="5" fillId="0" borderId="11" xfId="0" applyNumberFormat="1" applyFont="1" applyBorder="1" applyAlignment="1">
      <alignment horizontal="center" vertical="center" wrapText="1"/>
    </xf>
    <xf numFmtId="172" fontId="37" fillId="0" borderId="11" xfId="0" applyNumberFormat="1" applyFont="1" applyBorder="1" applyAlignment="1">
      <alignment horizontal="right" vertical="center"/>
    </xf>
    <xf numFmtId="172" fontId="38" fillId="0" borderId="11" xfId="0" applyNumberFormat="1" applyFont="1" applyBorder="1" applyAlignment="1">
      <alignment horizontal="right" vertical="center"/>
    </xf>
    <xf numFmtId="0" fontId="61" fillId="0" borderId="9" xfId="0" applyFont="1" applyBorder="1" applyAlignment="1">
      <alignment horizontal="center" vertical="center" wrapText="1"/>
    </xf>
    <xf numFmtId="0" fontId="62" fillId="0" borderId="9" xfId="0" applyFont="1" applyBorder="1" applyAlignment="1">
      <alignment horizontal="justify" vertical="center" wrapText="1"/>
    </xf>
    <xf numFmtId="0" fontId="62" fillId="3" borderId="9" xfId="0" applyNumberFormat="1" applyFont="1" applyFill="1" applyBorder="1" applyAlignment="1">
      <alignment horizontal="justify" vertical="center" wrapText="1"/>
    </xf>
    <xf numFmtId="0" fontId="62" fillId="3" borderId="11" xfId="0" applyNumberFormat="1" applyFont="1" applyFill="1" applyBorder="1" applyAlignment="1">
      <alignment horizontal="justify" vertical="center" wrapText="1"/>
    </xf>
    <xf numFmtId="0" fontId="62" fillId="4" borderId="9" xfId="0" applyNumberFormat="1" applyFont="1" applyFill="1" applyBorder="1" applyAlignment="1">
      <alignment horizontal="justify" vertical="center" wrapText="1"/>
    </xf>
    <xf numFmtId="3" fontId="63" fillId="0" borderId="0" xfId="0" applyNumberFormat="1" applyFont="1"/>
    <xf numFmtId="3" fontId="57" fillId="0" borderId="0" xfId="0" applyNumberFormat="1" applyFont="1" applyAlignment="1">
      <alignment vertical="center"/>
    </xf>
    <xf numFmtId="0" fontId="60" fillId="0" borderId="0" xfId="0" applyFont="1" applyAlignment="1">
      <alignment vertical="center"/>
    </xf>
    <xf numFmtId="172" fontId="57" fillId="0" borderId="0" xfId="0" applyNumberFormat="1" applyFont="1" applyAlignment="1">
      <alignment vertical="center"/>
    </xf>
    <xf numFmtId="0" fontId="57" fillId="4" borderId="0" xfId="0" applyFont="1" applyFill="1" applyAlignment="1">
      <alignment vertical="center"/>
    </xf>
    <xf numFmtId="0" fontId="46" fillId="0" borderId="17" xfId="0" applyFont="1" applyBorder="1" applyAlignment="1">
      <alignment horizontal="justify" vertical="center" wrapText="1"/>
    </xf>
    <xf numFmtId="0" fontId="55" fillId="0" borderId="3" xfId="0" applyFont="1" applyBorder="1" applyAlignment="1">
      <alignment horizontal="center" vertical="center"/>
    </xf>
    <xf numFmtId="0" fontId="53" fillId="0" borderId="3" xfId="0" applyFont="1" applyBorder="1" applyAlignment="1">
      <alignment horizontal="center" vertical="center"/>
    </xf>
    <xf numFmtId="0" fontId="46" fillId="0" borderId="17" xfId="0" applyFont="1" applyBorder="1" applyAlignment="1">
      <alignment horizontal="justify" vertical="center" wrapText="1"/>
    </xf>
    <xf numFmtId="4" fontId="3" fillId="0" borderId="4" xfId="22" applyNumberFormat="1" applyFont="1" applyBorder="1" applyAlignment="1">
      <alignment horizontal="center" vertical="center" wrapText="1"/>
    </xf>
    <xf numFmtId="4" fontId="31" fillId="0" borderId="13" xfId="0" applyNumberFormat="1" applyFont="1" applyBorder="1" applyAlignment="1">
      <alignment horizontal="center" vertical="center" wrapText="1"/>
    </xf>
    <xf numFmtId="0" fontId="5" fillId="0" borderId="5" xfId="0" quotePrefix="1" applyFont="1" applyBorder="1" applyAlignment="1">
      <alignment horizontal="center" vertical="center" wrapText="1"/>
    </xf>
    <xf numFmtId="0" fontId="5" fillId="0" borderId="5" xfId="0" applyFont="1" applyBorder="1" applyAlignment="1">
      <alignment horizontal="center" vertical="center" wrapText="1"/>
    </xf>
    <xf numFmtId="0" fontId="31" fillId="0" borderId="5" xfId="0" quotePrefix="1" applyFont="1" applyBorder="1" applyAlignment="1">
      <alignment horizontal="left" vertical="center" wrapText="1"/>
    </xf>
    <xf numFmtId="0" fontId="32" fillId="0" borderId="9" xfId="0" applyFont="1" applyBorder="1" applyAlignment="1">
      <alignment vertical="center" wrapText="1"/>
    </xf>
    <xf numFmtId="4" fontId="5" fillId="0" borderId="9" xfId="0" applyNumberFormat="1" applyFont="1" applyBorder="1" applyAlignment="1">
      <alignment horizontal="center" vertical="center" wrapText="1"/>
    </xf>
    <xf numFmtId="172" fontId="5" fillId="0" borderId="9" xfId="0" applyNumberFormat="1" applyFont="1" applyBorder="1" applyAlignment="1">
      <alignment horizontal="center" vertical="center" wrapText="1"/>
    </xf>
    <xf numFmtId="184" fontId="5" fillId="0" borderId="9" xfId="0" applyNumberFormat="1" applyFont="1" applyBorder="1" applyAlignment="1">
      <alignment horizontal="center" vertical="center" wrapText="1"/>
    </xf>
    <xf numFmtId="172" fontId="31" fillId="0" borderId="9" xfId="0" applyNumberFormat="1" applyFont="1" applyBorder="1" applyAlignment="1">
      <alignment horizontal="right" vertical="center"/>
    </xf>
    <xf numFmtId="4" fontId="5" fillId="0" borderId="5" xfId="0" quotePrefix="1" applyNumberFormat="1" applyFont="1" applyBorder="1" applyAlignment="1">
      <alignment horizontal="center" vertical="center" wrapText="1"/>
    </xf>
    <xf numFmtId="172" fontId="5" fillId="0" borderId="11" xfId="0" applyNumberFormat="1" applyFont="1" applyBorder="1" applyAlignment="1">
      <alignment vertical="center"/>
    </xf>
    <xf numFmtId="197" fontId="46" fillId="0" borderId="17" xfId="0" applyNumberFormat="1" applyFont="1" applyBorder="1" applyAlignment="1">
      <alignment horizontal="center" vertical="center"/>
    </xf>
    <xf numFmtId="2" fontId="46" fillId="0" borderId="2" xfId="0" applyNumberFormat="1" applyFont="1" applyBorder="1" applyAlignment="1">
      <alignment horizontal="justify" vertical="center" wrapText="1"/>
    </xf>
    <xf numFmtId="0" fontId="53" fillId="0" borderId="2" xfId="0" applyFont="1" applyBorder="1" applyAlignment="1">
      <alignment vertical="center" wrapText="1"/>
    </xf>
    <xf numFmtId="0" fontId="46" fillId="0" borderId="3" xfId="0" applyFont="1" applyBorder="1" applyAlignment="1">
      <alignment vertical="center" wrapText="1"/>
    </xf>
    <xf numFmtId="0" fontId="46" fillId="0" borderId="3" xfId="0" applyFont="1" applyBorder="1" applyAlignment="1">
      <alignment horizontal="justify" vertical="center" wrapText="1"/>
    </xf>
    <xf numFmtId="0" fontId="6" fillId="0" borderId="0" xfId="22" applyFont="1" applyAlignment="1">
      <alignment horizontal="left" vertical="center"/>
    </xf>
    <xf numFmtId="0" fontId="4" fillId="0" borderId="0" xfId="22" applyFont="1" applyAlignment="1">
      <alignment vertical="center"/>
    </xf>
    <xf numFmtId="4" fontId="4" fillId="0" borderId="0" xfId="22" applyNumberFormat="1" applyFont="1" applyAlignment="1">
      <alignment vertical="center"/>
    </xf>
    <xf numFmtId="0" fontId="6" fillId="0" borderId="0" xfId="22" applyFont="1" applyAlignment="1">
      <alignment vertical="center" wrapText="1"/>
    </xf>
    <xf numFmtId="0" fontId="4" fillId="0" borderId="0" xfId="22" applyFont="1" applyAlignment="1">
      <alignment horizontal="center" vertical="center"/>
    </xf>
    <xf numFmtId="0" fontId="4" fillId="0" borderId="0" xfId="22" applyFont="1" applyAlignment="1">
      <alignment horizontal="center" vertical="center" wrapText="1"/>
    </xf>
    <xf numFmtId="0" fontId="4" fillId="0" borderId="0" xfId="22" applyFont="1" applyAlignment="1">
      <alignment vertical="center" wrapText="1"/>
    </xf>
    <xf numFmtId="172" fontId="4" fillId="0" borderId="9" xfId="22" applyNumberFormat="1" applyFont="1" applyBorder="1" applyAlignment="1">
      <alignment vertical="center"/>
    </xf>
    <xf numFmtId="0" fontId="4" fillId="0" borderId="9" xfId="22" applyFont="1" applyBorder="1" applyAlignment="1">
      <alignment horizontal="center" vertical="center"/>
    </xf>
    <xf numFmtId="172" fontId="4" fillId="0" borderId="12" xfId="22" applyNumberFormat="1" applyFont="1" applyBorder="1" applyAlignment="1">
      <alignment vertical="center"/>
    </xf>
    <xf numFmtId="172" fontId="4" fillId="0" borderId="12" xfId="22" applyNumberFormat="1" applyFont="1" applyFill="1" applyBorder="1" applyAlignment="1">
      <alignment vertical="center"/>
    </xf>
    <xf numFmtId="172" fontId="4" fillId="0" borderId="12" xfId="22" applyNumberFormat="1" applyFont="1" applyFill="1" applyBorder="1" applyAlignment="1">
      <alignment horizontal="center" vertical="center"/>
    </xf>
    <xf numFmtId="180" fontId="4" fillId="0" borderId="3" xfId="22" applyNumberFormat="1" applyFont="1" applyBorder="1" applyAlignment="1">
      <alignment horizontal="center" vertical="center"/>
    </xf>
    <xf numFmtId="172" fontId="6" fillId="0" borderId="3" xfId="22" applyNumberFormat="1" applyFont="1" applyBorder="1" applyAlignment="1">
      <alignment horizontal="right" vertical="center"/>
    </xf>
    <xf numFmtId="172" fontId="4" fillId="0" borderId="12" xfId="22" applyNumberFormat="1" applyFont="1" applyBorder="1" applyAlignment="1">
      <alignment horizontal="center" vertical="center"/>
    </xf>
    <xf numFmtId="0" fontId="6" fillId="0" borderId="17" xfId="0" applyFont="1" applyBorder="1" applyAlignment="1">
      <alignment horizontal="center" vertical="center" wrapText="1"/>
    </xf>
    <xf numFmtId="0" fontId="6" fillId="0" borderId="3" xfId="0" applyFont="1" applyBorder="1" applyAlignment="1">
      <alignment horizontal="center" vertical="center"/>
    </xf>
    <xf numFmtId="0" fontId="4" fillId="0" borderId="17" xfId="0" applyFont="1" applyBorder="1" applyAlignment="1">
      <alignment horizontal="center" vertical="center"/>
    </xf>
    <xf numFmtId="3" fontId="6" fillId="0" borderId="3" xfId="0" applyNumberFormat="1" applyFont="1" applyBorder="1" applyAlignment="1">
      <alignment horizontal="right" vertical="center"/>
    </xf>
    <xf numFmtId="4" fontId="4" fillId="0" borderId="4" xfId="22" applyNumberFormat="1" applyFont="1" applyBorder="1" applyAlignment="1">
      <alignment horizontal="center" vertical="center" wrapText="1"/>
    </xf>
    <xf numFmtId="3" fontId="3" fillId="0" borderId="20" xfId="22" quotePrefix="1" applyNumberFormat="1" applyFont="1" applyBorder="1" applyAlignment="1">
      <alignment horizontal="right" vertical="center"/>
    </xf>
    <xf numFmtId="172" fontId="3" fillId="0" borderId="12" xfId="22" applyNumberFormat="1" applyFont="1" applyBorder="1" applyAlignment="1">
      <alignment horizontal="center" vertical="center"/>
    </xf>
    <xf numFmtId="3" fontId="3" fillId="0" borderId="18" xfId="22" quotePrefix="1" applyNumberFormat="1" applyFont="1" applyBorder="1" applyAlignment="1">
      <alignment horizontal="right" vertical="center"/>
    </xf>
    <xf numFmtId="172" fontId="3" fillId="0" borderId="9" xfId="22" applyNumberFormat="1" applyFont="1" applyBorder="1" applyAlignment="1">
      <alignment horizontal="center" vertical="center"/>
    </xf>
    <xf numFmtId="172" fontId="3" fillId="0" borderId="3" xfId="22" applyNumberFormat="1" applyFont="1" applyBorder="1" applyAlignment="1">
      <alignment horizontal="center" vertical="center"/>
    </xf>
    <xf numFmtId="172" fontId="3" fillId="0" borderId="0" xfId="22" applyNumberFormat="1" applyFont="1" applyBorder="1" applyAlignment="1">
      <alignment horizontal="center" vertical="center"/>
    </xf>
    <xf numFmtId="0" fontId="64" fillId="0" borderId="0" xfId="0" applyFont="1"/>
    <xf numFmtId="0" fontId="6" fillId="0" borderId="17" xfId="0" applyFont="1" applyBorder="1" applyAlignment="1">
      <alignment horizontal="center" vertical="center"/>
    </xf>
    <xf numFmtId="4" fontId="4" fillId="0" borderId="3" xfId="0" applyNumberFormat="1" applyFont="1" applyBorder="1" applyAlignment="1">
      <alignment horizontal="center" vertical="center"/>
    </xf>
    <xf numFmtId="197" fontId="64" fillId="0" borderId="0" xfId="0" applyNumberFormat="1" applyFont="1"/>
    <xf numFmtId="0" fontId="2" fillId="0" borderId="3" xfId="0" applyFont="1" applyBorder="1" applyAlignment="1">
      <alignment horizontal="center" vertical="center"/>
    </xf>
    <xf numFmtId="0" fontId="2"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7" xfId="0" applyFont="1" applyBorder="1" applyAlignment="1">
      <alignment horizontal="center" vertical="center"/>
    </xf>
    <xf numFmtId="0" fontId="3" fillId="0" borderId="17" xfId="0" applyFont="1" applyBorder="1" applyAlignment="1">
      <alignment horizontal="justify"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xf>
    <xf numFmtId="0" fontId="3" fillId="0" borderId="17" xfId="0" applyFont="1" applyBorder="1" applyAlignment="1">
      <alignment vertical="center" wrapText="1"/>
    </xf>
    <xf numFmtId="0" fontId="3" fillId="0" borderId="3" xfId="0" applyNumberFormat="1" applyFont="1" applyBorder="1" applyAlignment="1">
      <alignment horizontal="justify" vertical="center" wrapText="1"/>
    </xf>
    <xf numFmtId="0" fontId="3" fillId="0" borderId="3" xfId="0" applyFont="1" applyFill="1" applyBorder="1" applyAlignment="1">
      <alignment horizontal="center" vertical="center" wrapText="1"/>
    </xf>
    <xf numFmtId="0" fontId="31" fillId="0" borderId="5" xfId="0" quotePrefix="1" applyFont="1" applyBorder="1" applyAlignment="1">
      <alignment horizontal="center" vertical="center" wrapText="1"/>
    </xf>
    <xf numFmtId="0" fontId="46" fillId="0" borderId="13" xfId="0" applyFont="1" applyBorder="1" applyAlignment="1">
      <alignment horizontal="center" vertical="center" wrapText="1"/>
    </xf>
    <xf numFmtId="0" fontId="51" fillId="3" borderId="3" xfId="0" quotePrefix="1" applyFont="1" applyFill="1" applyBorder="1" applyAlignment="1">
      <alignment horizontal="center" vertical="center" wrapText="1"/>
    </xf>
    <xf numFmtId="197" fontId="51" fillId="3" borderId="3" xfId="0" quotePrefix="1" applyNumberFormat="1" applyFont="1" applyFill="1" applyBorder="1" applyAlignment="1">
      <alignment horizontal="center" vertical="center" wrapText="1"/>
    </xf>
    <xf numFmtId="0" fontId="51" fillId="0" borderId="3" xfId="0" quotePrefix="1" applyFont="1" applyFill="1" applyBorder="1" applyAlignment="1">
      <alignment horizontal="center" vertical="center" wrapText="1"/>
    </xf>
    <xf numFmtId="206" fontId="51" fillId="0" borderId="3" xfId="0" quotePrefix="1" applyNumberFormat="1" applyFont="1" applyFill="1" applyBorder="1" applyAlignment="1">
      <alignment horizontal="center" vertical="center" wrapText="1"/>
    </xf>
    <xf numFmtId="196" fontId="4" fillId="0" borderId="0" xfId="0" applyNumberFormat="1" applyFont="1" applyAlignment="1">
      <alignment horizontal="center" vertical="center"/>
    </xf>
    <xf numFmtId="172" fontId="3" fillId="0" borderId="12" xfId="22" applyNumberFormat="1" applyFont="1" applyBorder="1" applyAlignment="1">
      <alignment horizontal="right" vertical="center"/>
    </xf>
    <xf numFmtId="172" fontId="3" fillId="0" borderId="12" xfId="22" applyNumberFormat="1" applyFont="1" applyFill="1" applyBorder="1" applyAlignment="1">
      <alignment horizontal="right" vertical="center"/>
    </xf>
    <xf numFmtId="4" fontId="4" fillId="0" borderId="20" xfId="22" quotePrefix="1" applyNumberFormat="1" applyFont="1" applyBorder="1" applyAlignment="1">
      <alignment horizontal="center" vertical="center"/>
    </xf>
    <xf numFmtId="184" fontId="3" fillId="0" borderId="12" xfId="22" applyNumberFormat="1" applyFont="1" applyBorder="1" applyAlignment="1">
      <alignment horizontal="center" vertical="center"/>
    </xf>
    <xf numFmtId="184" fontId="3" fillId="0" borderId="12" xfId="22" applyNumberFormat="1" applyFont="1" applyFill="1" applyBorder="1" applyAlignment="1">
      <alignment horizontal="center" vertical="center"/>
    </xf>
    <xf numFmtId="4" fontId="4" fillId="0" borderId="18" xfId="22" quotePrefix="1" applyNumberFormat="1" applyFont="1" applyBorder="1" applyAlignment="1">
      <alignment horizontal="center" vertical="center"/>
    </xf>
    <xf numFmtId="184" fontId="48" fillId="0" borderId="12" xfId="22" applyNumberFormat="1" applyFont="1" applyBorder="1" applyAlignment="1">
      <alignment horizontal="center" vertical="center"/>
    </xf>
    <xf numFmtId="4" fontId="3" fillId="0" borderId="20" xfId="22" quotePrefix="1" applyNumberFormat="1" applyFont="1" applyBorder="1" applyAlignment="1">
      <alignment horizontal="center" vertical="center"/>
    </xf>
    <xf numFmtId="4" fontId="3" fillId="0" borderId="18" xfId="22" quotePrefix="1" applyNumberFormat="1" applyFont="1" applyBorder="1" applyAlignment="1">
      <alignment horizontal="center" vertical="center"/>
    </xf>
    <xf numFmtId="0" fontId="6" fillId="0" borderId="0" xfId="22" applyFont="1" applyAlignment="1">
      <alignment horizontal="center" vertical="center"/>
    </xf>
    <xf numFmtId="184" fontId="4" fillId="0" borderId="12" xfId="22" applyNumberFormat="1" applyFont="1" applyBorder="1" applyAlignment="1">
      <alignment horizontal="center" vertical="center"/>
    </xf>
    <xf numFmtId="184" fontId="4" fillId="0" borderId="12" xfId="22" applyNumberFormat="1" applyFont="1" applyFill="1" applyBorder="1" applyAlignment="1">
      <alignment horizontal="center" vertical="center"/>
    </xf>
    <xf numFmtId="2" fontId="31" fillId="0" borderId="0" xfId="0" applyNumberFormat="1" applyFont="1" applyBorder="1" applyAlignment="1">
      <alignment horizontal="center" vertical="center" wrapText="1"/>
    </xf>
    <xf numFmtId="4" fontId="3"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40" fontId="3" fillId="3" borderId="11" xfId="0" applyNumberFormat="1" applyFont="1" applyFill="1" applyBorder="1" applyAlignment="1">
      <alignment horizontal="center" vertical="center"/>
    </xf>
    <xf numFmtId="40" fontId="3" fillId="3" borderId="9" xfId="0" applyNumberFormat="1" applyFont="1" applyFill="1" applyBorder="1" applyAlignment="1">
      <alignment horizontal="center" vertical="center"/>
    </xf>
    <xf numFmtId="40" fontId="3" fillId="3" borderId="10" xfId="0" applyNumberFormat="1" applyFont="1" applyFill="1" applyBorder="1" applyAlignment="1">
      <alignment horizontal="center" vertical="center"/>
    </xf>
    <xf numFmtId="0" fontId="4" fillId="0" borderId="4" xfId="22" applyFont="1" applyBorder="1" applyAlignment="1">
      <alignment horizontal="center" vertical="center" wrapText="1"/>
    </xf>
    <xf numFmtId="0" fontId="3" fillId="0" borderId="4" xfId="22" applyFont="1" applyBorder="1" applyAlignment="1">
      <alignment horizontal="center" vertical="center" wrapText="1"/>
    </xf>
    <xf numFmtId="4" fontId="48" fillId="0" borderId="4" xfId="22" applyNumberFormat="1" applyFont="1" applyBorder="1" applyAlignment="1">
      <alignment horizontal="center" vertical="center" wrapText="1"/>
    </xf>
    <xf numFmtId="4" fontId="31" fillId="0" borderId="3" xfId="0" applyNumberFormat="1" applyFont="1" applyBorder="1" applyAlignment="1">
      <alignment horizontal="center" vertical="center" wrapText="1"/>
    </xf>
    <xf numFmtId="0" fontId="40" fillId="0" borderId="4" xfId="0" applyFont="1" applyBorder="1" applyAlignment="1">
      <alignment horizontal="center" vertical="center" wrapText="1"/>
    </xf>
    <xf numFmtId="0" fontId="40" fillId="3" borderId="4" xfId="0" quotePrefix="1" applyFont="1" applyFill="1" applyBorder="1" applyAlignment="1">
      <alignment horizontal="center" vertical="center" wrapText="1"/>
    </xf>
    <xf numFmtId="3" fontId="5" fillId="0" borderId="3" xfId="0" applyNumberFormat="1" applyFont="1" applyBorder="1" applyAlignment="1">
      <alignment vertical="center"/>
    </xf>
    <xf numFmtId="0" fontId="5" fillId="0" borderId="0" xfId="0" applyFont="1" applyAlignment="1">
      <alignment horizontal="center" vertical="center" wrapText="1"/>
    </xf>
    <xf numFmtId="0" fontId="46" fillId="0" borderId="13" xfId="0" applyFont="1" applyBorder="1" applyAlignment="1">
      <alignment horizontal="justify" vertical="center" wrapText="1"/>
    </xf>
    <xf numFmtId="3" fontId="46" fillId="3" borderId="13" xfId="0" quotePrefix="1" applyNumberFormat="1" applyFont="1" applyFill="1" applyBorder="1" applyAlignment="1">
      <alignment horizontal="right" vertical="center" wrapText="1"/>
    </xf>
    <xf numFmtId="3" fontId="46" fillId="0" borderId="13" xfId="0" quotePrefix="1" applyNumberFormat="1" applyFont="1" applyFill="1" applyBorder="1" applyAlignment="1">
      <alignment horizontal="right" vertical="center" wrapText="1"/>
    </xf>
    <xf numFmtId="0" fontId="6" fillId="0" borderId="3" xfId="0" quotePrefix="1" applyFont="1" applyBorder="1" applyAlignment="1">
      <alignment horizontal="center" vertical="center" wrapText="1"/>
    </xf>
    <xf numFmtId="0" fontId="6" fillId="0" borderId="3" xfId="0" quotePrefix="1" applyFont="1" applyBorder="1" applyAlignment="1">
      <alignment horizontal="left" vertical="center" wrapText="1"/>
    </xf>
    <xf numFmtId="3" fontId="53" fillId="3" borderId="3" xfId="0" quotePrefix="1" applyNumberFormat="1" applyFont="1" applyFill="1" applyBorder="1" applyAlignment="1">
      <alignment horizontal="right" vertical="center" wrapText="1"/>
    </xf>
    <xf numFmtId="3" fontId="53" fillId="0" borderId="3" xfId="0" quotePrefix="1" applyNumberFormat="1" applyFont="1" applyFill="1" applyBorder="1" applyAlignment="1">
      <alignment horizontal="right" vertical="center" wrapText="1"/>
    </xf>
    <xf numFmtId="0" fontId="53" fillId="3" borderId="3" xfId="0" applyNumberFormat="1" applyFont="1" applyFill="1" applyBorder="1" applyAlignment="1">
      <alignment horizontal="justify" vertical="center" wrapText="1"/>
    </xf>
    <xf numFmtId="0" fontId="65" fillId="0" borderId="3" xfId="0" applyFont="1" applyBorder="1" applyAlignment="1">
      <alignment horizontal="center" vertical="center" wrapText="1"/>
    </xf>
    <xf numFmtId="0" fontId="65" fillId="3" borderId="3" xfId="0" applyNumberFormat="1" applyFont="1" applyFill="1" applyBorder="1" applyAlignment="1">
      <alignment horizontal="justify" vertical="center" wrapText="1"/>
    </xf>
    <xf numFmtId="0" fontId="46" fillId="3" borderId="3" xfId="0" applyNumberFormat="1" applyFont="1" applyFill="1" applyBorder="1" applyAlignment="1">
      <alignment horizontal="justify" vertical="center" wrapText="1"/>
    </xf>
    <xf numFmtId="3" fontId="46" fillId="3" borderId="3" xfId="0" quotePrefix="1" applyNumberFormat="1" applyFont="1" applyFill="1" applyBorder="1" applyAlignment="1">
      <alignment horizontal="right" vertical="center" wrapText="1"/>
    </xf>
    <xf numFmtId="3" fontId="46" fillId="0" borderId="3" xfId="0" quotePrefix="1" applyNumberFormat="1" applyFont="1" applyFill="1" applyBorder="1" applyAlignment="1">
      <alignment horizontal="right" vertical="center" wrapText="1"/>
    </xf>
    <xf numFmtId="3" fontId="66" fillId="0" borderId="3" xfId="0" quotePrefix="1" applyNumberFormat="1" applyFont="1" applyFill="1" applyBorder="1" applyAlignment="1">
      <alignment horizontal="right" vertical="center" wrapText="1"/>
    </xf>
    <xf numFmtId="0" fontId="46" fillId="4" borderId="3" xfId="0" applyNumberFormat="1" applyFont="1" applyFill="1" applyBorder="1" applyAlignment="1">
      <alignment horizontal="justify" vertical="center" wrapText="1"/>
    </xf>
    <xf numFmtId="0" fontId="65" fillId="0" borderId="3" xfId="0" applyFont="1" applyBorder="1" applyAlignment="1">
      <alignment horizontal="justify" vertical="center" wrapText="1"/>
    </xf>
    <xf numFmtId="0" fontId="6" fillId="0" borderId="3" xfId="22" applyFont="1" applyBorder="1" applyAlignment="1">
      <alignment vertical="center" wrapText="1"/>
    </xf>
    <xf numFmtId="0" fontId="53" fillId="0" borderId="3" xfId="0" applyFont="1" applyBorder="1" applyAlignment="1">
      <alignment horizontal="justify" vertical="center" wrapText="1"/>
    </xf>
    <xf numFmtId="3" fontId="31" fillId="0" borderId="3" xfId="0" applyNumberFormat="1" applyFont="1" applyBorder="1" applyAlignment="1">
      <alignment vertical="center"/>
    </xf>
    <xf numFmtId="0" fontId="5" fillId="4" borderId="0" xfId="0" applyFont="1" applyFill="1"/>
    <xf numFmtId="0" fontId="4" fillId="4" borderId="0" xfId="0" applyFont="1" applyFill="1" applyAlignment="1">
      <alignment horizontal="center" vertical="center"/>
    </xf>
    <xf numFmtId="0" fontId="4" fillId="4" borderId="0" xfId="0" applyFont="1" applyFill="1"/>
    <xf numFmtId="0" fontId="4" fillId="4" borderId="0" xfId="0" applyFont="1" applyFill="1" applyAlignment="1">
      <alignment horizontal="right" vertical="center"/>
    </xf>
    <xf numFmtId="0" fontId="6" fillId="4" borderId="3" xfId="0" applyFont="1" applyFill="1" applyBorder="1" applyAlignment="1">
      <alignment horizontal="center" vertical="center" wrapText="1"/>
    </xf>
    <xf numFmtId="4" fontId="6" fillId="4" borderId="3" xfId="0" applyNumberFormat="1" applyFont="1" applyFill="1" applyBorder="1" applyAlignment="1">
      <alignment horizontal="center" vertical="center" wrapText="1"/>
    </xf>
    <xf numFmtId="0" fontId="4" fillId="4" borderId="3" xfId="0" quotePrefix="1" applyFont="1" applyFill="1" applyBorder="1" applyAlignment="1">
      <alignment horizontal="center" vertical="center" wrapText="1"/>
    </xf>
    <xf numFmtId="49" fontId="4" fillId="4" borderId="3" xfId="0" quotePrefix="1" applyNumberFormat="1" applyFont="1" applyFill="1" applyBorder="1" applyAlignment="1">
      <alignment horizontal="center" vertical="center" wrapText="1"/>
    </xf>
    <xf numFmtId="0" fontId="5" fillId="4" borderId="3" xfId="0" applyFont="1" applyFill="1" applyBorder="1"/>
    <xf numFmtId="0" fontId="6" fillId="4" borderId="3" xfId="0" quotePrefix="1" applyFont="1" applyFill="1" applyBorder="1" applyAlignment="1">
      <alignment horizontal="center" vertical="center" wrapText="1"/>
    </xf>
    <xf numFmtId="0" fontId="6" fillId="4" borderId="3" xfId="0" quotePrefix="1" applyFont="1" applyFill="1" applyBorder="1" applyAlignment="1">
      <alignment horizontal="left" vertical="center" wrapText="1"/>
    </xf>
    <xf numFmtId="3" fontId="6" fillId="4" borderId="3" xfId="0" quotePrefix="1" applyNumberFormat="1" applyFont="1" applyFill="1" applyBorder="1" applyAlignment="1">
      <alignment horizontal="right" vertical="center" wrapText="1"/>
    </xf>
    <xf numFmtId="3" fontId="6" fillId="4" borderId="3" xfId="0" applyNumberFormat="1" applyFont="1" applyFill="1" applyBorder="1" applyAlignment="1">
      <alignment horizontal="right" vertical="center"/>
    </xf>
    <xf numFmtId="0" fontId="6" fillId="4" borderId="3" xfId="0" quotePrefix="1" applyFont="1" applyFill="1" applyBorder="1" applyAlignment="1">
      <alignment horizontal="justify" vertical="center" wrapText="1"/>
    </xf>
    <xf numFmtId="0" fontId="4" fillId="4" borderId="3" xfId="0" quotePrefix="1" applyFont="1" applyFill="1" applyBorder="1" applyAlignment="1">
      <alignment horizontal="justify" vertical="center" wrapText="1"/>
    </xf>
    <xf numFmtId="3" fontId="4" fillId="4" borderId="3" xfId="0" quotePrefix="1" applyNumberFormat="1" applyFont="1" applyFill="1" applyBorder="1" applyAlignment="1">
      <alignment horizontal="right" vertical="center" wrapText="1"/>
    </xf>
    <xf numFmtId="3" fontId="4" fillId="4" borderId="3" xfId="0" applyNumberFormat="1" applyFont="1" applyFill="1" applyBorder="1" applyAlignment="1">
      <alignment horizontal="right" vertical="center"/>
    </xf>
    <xf numFmtId="0" fontId="41" fillId="4" borderId="3" xfId="0" quotePrefix="1" applyFont="1" applyFill="1" applyBorder="1" applyAlignment="1">
      <alignment horizontal="center" vertical="center" wrapText="1"/>
    </xf>
    <xf numFmtId="3" fontId="5" fillId="4" borderId="3" xfId="0" applyNumberFormat="1" applyFont="1" applyFill="1" applyBorder="1" applyAlignment="1">
      <alignment horizontal="justify" vertical="center" wrapText="1"/>
    </xf>
    <xf numFmtId="3" fontId="5" fillId="4" borderId="0" xfId="0" applyNumberFormat="1" applyFont="1" applyFill="1"/>
    <xf numFmtId="3" fontId="5" fillId="4" borderId="3" xfId="0" applyNumberFormat="1" applyFont="1" applyFill="1" applyBorder="1"/>
    <xf numFmtId="0" fontId="4" fillId="4" borderId="3" xfId="0" applyFont="1" applyFill="1" applyBorder="1" applyAlignment="1">
      <alignment horizontal="center" vertical="center" wrapText="1"/>
    </xf>
    <xf numFmtId="0" fontId="4" fillId="4" borderId="3" xfId="0" applyFont="1" applyFill="1" applyBorder="1" applyAlignment="1">
      <alignment horizontal="justify" vertical="center" wrapText="1"/>
    </xf>
    <xf numFmtId="0" fontId="6" fillId="4" borderId="3" xfId="0" applyFont="1" applyFill="1" applyBorder="1" applyAlignment="1">
      <alignment horizontal="justify" vertical="center" wrapText="1"/>
    </xf>
    <xf numFmtId="0" fontId="31" fillId="4" borderId="3" xfId="0" applyFont="1" applyFill="1" applyBorder="1"/>
    <xf numFmtId="0" fontId="5" fillId="4" borderId="0" xfId="0" applyFont="1" applyFill="1" applyAlignment="1">
      <alignment horizontal="center"/>
    </xf>
    <xf numFmtId="0" fontId="4" fillId="4" borderId="3" xfId="0" applyFont="1" applyFill="1" applyBorder="1" applyAlignment="1">
      <alignment vertical="center" wrapText="1"/>
    </xf>
    <xf numFmtId="0" fontId="5" fillId="4" borderId="3" xfId="0" applyFont="1" applyFill="1" applyBorder="1" applyAlignment="1">
      <alignment horizontal="center" vertical="center"/>
    </xf>
    <xf numFmtId="3" fontId="4" fillId="4" borderId="3" xfId="0" quotePrefix="1" applyNumberFormat="1" applyFont="1" applyFill="1" applyBorder="1" applyAlignment="1">
      <alignment horizontal="center" vertical="center" wrapText="1"/>
    </xf>
    <xf numFmtId="3" fontId="6" fillId="4" borderId="3" xfId="0" quotePrefix="1" applyNumberFormat="1" applyFont="1" applyFill="1" applyBorder="1" applyAlignment="1">
      <alignment horizontal="center" vertical="center" wrapText="1"/>
    </xf>
    <xf numFmtId="0" fontId="4" fillId="4" borderId="0" xfId="0" applyFont="1" applyFill="1" applyAlignment="1">
      <alignment horizontal="center"/>
    </xf>
    <xf numFmtId="3" fontId="67" fillId="4" borderId="3" xfId="0" quotePrefix="1" applyNumberFormat="1" applyFont="1" applyFill="1" applyBorder="1" applyAlignment="1">
      <alignment horizontal="center" vertical="center" wrapText="1"/>
    </xf>
    <xf numFmtId="3" fontId="67" fillId="4" borderId="3" xfId="0" applyNumberFormat="1" applyFont="1" applyFill="1" applyBorder="1" applyAlignment="1">
      <alignment horizontal="right" vertical="center"/>
    </xf>
    <xf numFmtId="0" fontId="2" fillId="0" borderId="0" xfId="21" applyFont="1" applyAlignment="1">
      <alignment horizontal="center" vertical="center"/>
    </xf>
    <xf numFmtId="0" fontId="5" fillId="0" borderId="16"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0" xfId="0" applyFont="1" applyAlignment="1">
      <alignment horizontal="center" vertical="center"/>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0" xfId="0" applyFont="1" applyAlignment="1">
      <alignment horizontal="left" vertical="center" wrapText="1"/>
    </xf>
    <xf numFmtId="0" fontId="45" fillId="0" borderId="10" xfId="0" applyFont="1" applyBorder="1" applyAlignment="1">
      <alignment horizontal="center" vertical="center" wrapText="1"/>
    </xf>
    <xf numFmtId="0" fontId="35" fillId="0" borderId="17" xfId="0" applyFont="1" applyBorder="1" applyAlignment="1">
      <alignment horizontal="left" vertical="center" wrapText="1"/>
    </xf>
    <xf numFmtId="0" fontId="35" fillId="0" borderId="2" xfId="0" applyFont="1" applyBorder="1" applyAlignment="1">
      <alignment horizontal="left" vertical="center" wrapText="1"/>
    </xf>
    <xf numFmtId="0" fontId="35" fillId="0" borderId="14" xfId="0" applyFont="1" applyBorder="1" applyAlignment="1">
      <alignment horizontal="left" vertical="center" wrapText="1"/>
    </xf>
    <xf numFmtId="0" fontId="55" fillId="0" borderId="17" xfId="0" applyFont="1" applyBorder="1" applyAlignment="1">
      <alignment horizontal="left" vertical="center"/>
    </xf>
    <xf numFmtId="0" fontId="55" fillId="0" borderId="2" xfId="0" applyFont="1" applyBorder="1" applyAlignment="1">
      <alignment horizontal="left" vertical="center"/>
    </xf>
    <xf numFmtId="0" fontId="55" fillId="0" borderId="14"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5" fillId="0" borderId="0" xfId="0" applyFont="1" applyAlignment="1">
      <alignment horizontal="left" vertical="center"/>
    </xf>
    <xf numFmtId="0" fontId="55" fillId="0" borderId="3" xfId="0" applyFont="1" applyBorder="1" applyAlignment="1">
      <alignment horizontal="center" vertical="center" wrapText="1"/>
    </xf>
    <xf numFmtId="0" fontId="56" fillId="0" borderId="3" xfId="0" applyFont="1" applyBorder="1" applyAlignment="1">
      <alignment horizontal="center" vertical="center"/>
    </xf>
    <xf numFmtId="0" fontId="55" fillId="0" borderId="3" xfId="0" applyFont="1" applyBorder="1" applyAlignment="1">
      <alignment horizontal="center" vertical="center"/>
    </xf>
    <xf numFmtId="0" fontId="56" fillId="0" borderId="3" xfId="0" applyFont="1" applyBorder="1" applyAlignment="1">
      <alignment horizontal="justify" vertical="center" wrapText="1"/>
    </xf>
    <xf numFmtId="0" fontId="52"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2" xfId="0" applyFont="1" applyBorder="1" applyAlignment="1">
      <alignment horizontal="left" vertical="center" wrapText="1"/>
    </xf>
    <xf numFmtId="0" fontId="2" fillId="0" borderId="14" xfId="0" applyFont="1" applyBorder="1" applyAlignment="1">
      <alignment horizontal="left" vertical="center" wrapText="1"/>
    </xf>
    <xf numFmtId="0" fontId="52" fillId="0" borderId="3" xfId="0" applyFont="1" applyBorder="1" applyAlignment="1">
      <alignment horizontal="left" vertical="center"/>
    </xf>
    <xf numFmtId="0" fontId="55" fillId="0" borderId="3" xfId="0" applyFont="1" applyBorder="1" applyAlignment="1">
      <alignment horizontal="left" vertical="center"/>
    </xf>
    <xf numFmtId="0" fontId="56" fillId="0" borderId="17" xfId="0" applyFont="1" applyBorder="1" applyAlignment="1">
      <alignment horizontal="left" vertical="center" wrapText="1"/>
    </xf>
    <xf numFmtId="0" fontId="56" fillId="0" borderId="14" xfId="0" applyFont="1" applyBorder="1" applyAlignment="1">
      <alignment horizontal="left" vertical="center" wrapText="1"/>
    </xf>
    <xf numFmtId="0" fontId="46" fillId="0" borderId="17" xfId="0" applyFont="1" applyBorder="1" applyAlignment="1">
      <alignment horizontal="justify" vertical="center" wrapText="1"/>
    </xf>
    <xf numFmtId="0" fontId="46" fillId="0" borderId="14" xfId="0" applyFont="1" applyBorder="1" applyAlignment="1">
      <alignment horizontal="justify" vertical="center" wrapText="1"/>
    </xf>
    <xf numFmtId="2" fontId="6" fillId="0" borderId="17"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2" fontId="6" fillId="0" borderId="14"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wrapText="1"/>
    </xf>
    <xf numFmtId="0" fontId="4" fillId="0" borderId="0" xfId="0" applyFont="1" applyBorder="1" applyAlignment="1">
      <alignment horizontal="left" wrapText="1"/>
    </xf>
    <xf numFmtId="0" fontId="68" fillId="0" borderId="0" xfId="0" applyFont="1" applyAlignment="1">
      <alignment horizontal="left" vertical="center"/>
    </xf>
    <xf numFmtId="0" fontId="4" fillId="0" borderId="0" xfId="0" applyFont="1" applyAlignment="1"/>
    <xf numFmtId="2" fontId="31" fillId="0" borderId="17" xfId="0" applyNumberFormat="1" applyFont="1" applyBorder="1" applyAlignment="1">
      <alignment horizontal="center" vertical="center" wrapText="1"/>
    </xf>
    <xf numFmtId="2" fontId="31" fillId="0" borderId="2" xfId="0" applyNumberFormat="1" applyFont="1" applyBorder="1" applyAlignment="1">
      <alignment horizontal="center" vertical="center" wrapText="1"/>
    </xf>
    <xf numFmtId="2" fontId="31" fillId="0" borderId="14" xfId="0" applyNumberFormat="1" applyFont="1" applyBorder="1" applyAlignment="1">
      <alignment horizontal="center" vertical="center" wrapText="1"/>
    </xf>
    <xf numFmtId="0" fontId="4" fillId="0" borderId="0" xfId="0" applyFont="1" applyAlignment="1">
      <alignment horizontal="left"/>
    </xf>
    <xf numFmtId="0" fontId="53" fillId="0" borderId="3" xfId="0" applyFont="1" applyBorder="1" applyAlignment="1">
      <alignment horizontal="center" vertical="center"/>
    </xf>
    <xf numFmtId="0" fontId="46" fillId="0" borderId="17" xfId="0" applyFont="1" applyBorder="1" applyAlignment="1">
      <alignment horizontal="left" vertical="center" wrapText="1"/>
    </xf>
    <xf numFmtId="0" fontId="46" fillId="0" borderId="14" xfId="0" applyFont="1" applyBorder="1" applyAlignment="1">
      <alignment horizontal="left" vertical="center" wrapText="1"/>
    </xf>
    <xf numFmtId="0" fontId="53" fillId="0" borderId="17" xfId="0" applyFont="1" applyBorder="1" applyAlignment="1">
      <alignment horizontal="center" vertical="center"/>
    </xf>
    <xf numFmtId="0" fontId="53" fillId="0" borderId="14" xfId="0" applyFont="1" applyBorder="1" applyAlignment="1">
      <alignment horizontal="center" vertical="center"/>
    </xf>
    <xf numFmtId="0" fontId="6" fillId="0" borderId="0" xfId="22" applyFont="1" applyAlignment="1">
      <alignment horizontal="left" vertical="center"/>
    </xf>
    <xf numFmtId="0" fontId="6" fillId="0" borderId="0" xfId="22" applyFont="1" applyAlignment="1">
      <alignment horizontal="left" vertical="center" wrapText="1"/>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4" fillId="0" borderId="17"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180" fontId="6" fillId="0" borderId="3" xfId="22" applyNumberFormat="1" applyFont="1" applyBorder="1" applyAlignment="1">
      <alignment horizontal="left" vertical="center" wrapText="1"/>
    </xf>
    <xf numFmtId="0" fontId="6" fillId="0" borderId="0" xfId="0" applyFont="1" applyAlignment="1">
      <alignment horizontal="left" vertical="center"/>
    </xf>
    <xf numFmtId="0" fontId="2" fillId="0" borderId="0" xfId="22" applyFont="1" applyAlignment="1">
      <alignment horizontal="left" vertical="center" wrapText="1"/>
    </xf>
    <xf numFmtId="180" fontId="2" fillId="0" borderId="17" xfId="22" applyNumberFormat="1" applyFont="1" applyBorder="1" applyAlignment="1">
      <alignment horizontal="left" vertical="center" wrapText="1"/>
    </xf>
    <xf numFmtId="180" fontId="2" fillId="0" borderId="2" xfId="22" applyNumberFormat="1" applyFont="1" applyBorder="1" applyAlignment="1">
      <alignment horizontal="left" vertical="center" wrapText="1"/>
    </xf>
    <xf numFmtId="180" fontId="2" fillId="0" borderId="14" xfId="22" applyNumberFormat="1" applyFont="1" applyBorder="1" applyAlignment="1">
      <alignment horizontal="left" vertical="center" wrapText="1"/>
    </xf>
    <xf numFmtId="0" fontId="2" fillId="0" borderId="0" xfId="22" applyFont="1" applyAlignment="1">
      <alignment horizontal="left" vertical="center"/>
    </xf>
    <xf numFmtId="0" fontId="68" fillId="0" borderId="0" xfId="22" applyFont="1" applyAlignment="1">
      <alignment horizontal="left" vertical="center"/>
    </xf>
    <xf numFmtId="180" fontId="2" fillId="0" borderId="3" xfId="22" applyNumberFormat="1" applyFont="1" applyBorder="1" applyAlignment="1">
      <alignment horizontal="left" vertical="center" wrapText="1"/>
    </xf>
    <xf numFmtId="0" fontId="35" fillId="0" borderId="0" xfId="0" applyFont="1" applyAlignment="1">
      <alignment horizontal="left" vertical="center"/>
    </xf>
    <xf numFmtId="0" fontId="39" fillId="0" borderId="0" xfId="22" applyFont="1" applyAlignment="1">
      <alignment horizontal="left" vertical="center"/>
    </xf>
    <xf numFmtId="0" fontId="2" fillId="0" borderId="3" xfId="0" applyFont="1" applyBorder="1" applyAlignment="1">
      <alignment horizontal="center" vertical="center"/>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3" xfId="22" applyFont="1" applyBorder="1" applyAlignment="1">
      <alignment horizontal="left" vertical="center" wrapText="1"/>
    </xf>
    <xf numFmtId="0" fontId="3" fillId="0" borderId="17" xfId="0" applyFont="1" applyBorder="1" applyAlignment="1">
      <alignment horizontal="justify" vertical="center" wrapText="1"/>
    </xf>
    <xf numFmtId="0" fontId="3" fillId="0" borderId="14" xfId="0" applyFont="1" applyBorder="1" applyAlignment="1">
      <alignment horizontal="justify" vertical="center" wrapText="1"/>
    </xf>
    <xf numFmtId="4" fontId="6" fillId="0" borderId="17"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0" fontId="53" fillId="3" borderId="4" xfId="0" applyFont="1" applyFill="1" applyBorder="1" applyAlignment="1">
      <alignment horizontal="center" vertical="center" wrapText="1"/>
    </xf>
    <xf numFmtId="0" fontId="53" fillId="3" borderId="13" xfId="0" applyFont="1" applyFill="1" applyBorder="1" applyAlignment="1">
      <alignment horizontal="center" vertical="center" wrapText="1"/>
    </xf>
    <xf numFmtId="197" fontId="53" fillId="3" borderId="4" xfId="0" applyNumberFormat="1" applyFont="1" applyFill="1" applyBorder="1" applyAlignment="1">
      <alignment horizontal="center" vertical="center" wrapText="1"/>
    </xf>
    <xf numFmtId="197" fontId="53" fillId="3" borderId="13" xfId="0" applyNumberFormat="1" applyFont="1" applyFill="1" applyBorder="1" applyAlignment="1">
      <alignment horizontal="center" vertical="center" wrapText="1"/>
    </xf>
    <xf numFmtId="0" fontId="53" fillId="0" borderId="0" xfId="0" applyFont="1" applyAlignment="1">
      <alignment horizontal="left" vertical="center" wrapText="1"/>
    </xf>
    <xf numFmtId="4" fontId="6" fillId="0" borderId="4"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4" fontId="6" fillId="0" borderId="24" xfId="0" applyNumberFormat="1" applyFont="1" applyFill="1" applyBorder="1" applyAlignment="1">
      <alignment horizontal="center" vertical="center" wrapText="1"/>
    </xf>
    <xf numFmtId="4" fontId="6" fillId="0" borderId="25" xfId="0" applyNumberFormat="1" applyFont="1" applyFill="1" applyBorder="1" applyAlignment="1">
      <alignment horizontal="center" vertical="center" wrapText="1"/>
    </xf>
    <xf numFmtId="4" fontId="31" fillId="0" borderId="17" xfId="0" applyNumberFormat="1" applyFont="1" applyBorder="1" applyAlignment="1">
      <alignment horizontal="center" vertical="center" wrapText="1"/>
    </xf>
    <xf numFmtId="4" fontId="31" fillId="0" borderId="14" xfId="0" applyNumberFormat="1" applyFont="1" applyBorder="1" applyAlignment="1">
      <alignment horizontal="center" vertical="center" wrapText="1"/>
    </xf>
    <xf numFmtId="0" fontId="31" fillId="0" borderId="3" xfId="0" applyFont="1" applyBorder="1" applyAlignment="1">
      <alignment horizontal="center" vertical="center" wrapText="1"/>
    </xf>
    <xf numFmtId="4" fontId="6" fillId="0" borderId="4" xfId="0" applyNumberFormat="1"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0" fontId="46" fillId="0" borderId="22" xfId="0" applyFont="1" applyFill="1" applyBorder="1" applyAlignment="1">
      <alignment horizontal="center" vertical="center"/>
    </xf>
    <xf numFmtId="0" fontId="2" fillId="4" borderId="0" xfId="0" applyFont="1" applyFill="1" applyAlignment="1">
      <alignment horizontal="center" vertical="center"/>
    </xf>
    <xf numFmtId="0" fontId="6" fillId="4" borderId="3" xfId="0" applyFont="1" applyFill="1" applyBorder="1" applyAlignment="1">
      <alignment horizontal="center" vertical="center" wrapText="1"/>
    </xf>
    <xf numFmtId="4" fontId="6" fillId="4" borderId="3" xfId="0" applyNumberFormat="1" applyFont="1" applyFill="1" applyBorder="1" applyAlignment="1">
      <alignment horizontal="center" vertical="center" wrapText="1"/>
    </xf>
    <xf numFmtId="0" fontId="31" fillId="4" borderId="3" xfId="0" applyFont="1" applyFill="1" applyBorder="1" applyAlignment="1">
      <alignment horizontal="center" vertical="center"/>
    </xf>
    <xf numFmtId="0" fontId="5" fillId="4" borderId="4"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5" fillId="4" borderId="13" xfId="0" applyFont="1" applyFill="1" applyBorder="1" applyAlignment="1">
      <alignment horizontal="justify" vertical="center" wrapText="1"/>
    </xf>
    <xf numFmtId="4" fontId="6" fillId="4" borderId="4" xfId="0" applyNumberFormat="1" applyFont="1" applyFill="1" applyBorder="1" applyAlignment="1">
      <alignment horizontal="center" vertical="center" wrapText="1"/>
    </xf>
    <xf numFmtId="4" fontId="6" fillId="4" borderId="13" xfId="0" applyNumberFormat="1" applyFont="1" applyFill="1" applyBorder="1" applyAlignment="1">
      <alignment horizontal="center" vertical="center" wrapText="1"/>
    </xf>
    <xf numFmtId="0" fontId="6" fillId="4" borderId="0" xfId="0" applyFont="1" applyFill="1" applyAlignment="1">
      <alignment horizontal="left" vertical="center" wrapText="1"/>
    </xf>
  </cellXfs>
  <cellStyles count="50">
    <cellStyle name="??" xfId="1"/>
    <cellStyle name="?? [0.00]_PRODUCT DETAIL Q1" xfId="2"/>
    <cellStyle name="?? [0]" xfId="3"/>
    <cellStyle name="???? [0.00]_PRODUCT DETAIL Q1" xfId="4"/>
    <cellStyle name="????_PRODUCT DETAIL Q1" xfId="5"/>
    <cellStyle name="???_HOBONG" xfId="6"/>
    <cellStyle name="??_(????)??????" xfId="7"/>
    <cellStyle name="Comma 2" xfId="8"/>
    <cellStyle name="Comma0" xfId="9"/>
    <cellStyle name="Currency 2" xfId="10"/>
    <cellStyle name="Currency0" xfId="11"/>
    <cellStyle name="Date" xfId="12"/>
    <cellStyle name="Fixed" xfId="13"/>
    <cellStyle name="Header1" xfId="14"/>
    <cellStyle name="Header2" xfId="15"/>
    <cellStyle name="Millares [0]_Well Timing" xfId="16"/>
    <cellStyle name="Millares_Well Timing" xfId="17"/>
    <cellStyle name="Moneda [0]_Well Timing" xfId="18"/>
    <cellStyle name="Moneda_Well Timing" xfId="19"/>
    <cellStyle name="n" xfId="20"/>
    <cellStyle name="Normal" xfId="0" builtinId="0"/>
    <cellStyle name="Normal 2" xfId="21"/>
    <cellStyle name="Normal 3" xfId="22"/>
    <cellStyle name="Percent 2" xfId="23"/>
    <cellStyle name="Percent 3" xfId="24"/>
    <cellStyle name="Style 1" xfId="25"/>
    <cellStyle name="vnhead1" xfId="26"/>
    <cellStyle name="vnhead3" xfId="27"/>
    <cellStyle name="vntxt1" xfId="28"/>
    <cellStyle name="vntxt2" xfId="29"/>
    <cellStyle name=" [0.00]_ Att. 1- Cover" xfId="30"/>
    <cellStyle name="_ Att. 1- Cover" xfId="31"/>
    <cellStyle name="?_ Att. 1- Cover" xfId="32"/>
    <cellStyle name="똿뗦먛귟 [0.00]_PRODUCT DETAIL Q1" xfId="33"/>
    <cellStyle name="똿뗦먛귟_PRODUCT DETAIL Q1" xfId="34"/>
    <cellStyle name="믅됞 [0.00]_PRODUCT DETAIL Q1" xfId="35"/>
    <cellStyle name="믅됞_PRODUCT DETAIL Q1" xfId="36"/>
    <cellStyle name="백분율_95" xfId="37"/>
    <cellStyle name="뷭?_BOOKSHIP" xfId="38"/>
    <cellStyle name="콤마 [0]_1202" xfId="39"/>
    <cellStyle name="콤마_1202" xfId="40"/>
    <cellStyle name="통화 [0]_1202" xfId="41"/>
    <cellStyle name="통화_1202" xfId="42"/>
    <cellStyle name="표준_(정보부문)월별인원계획" xfId="43"/>
    <cellStyle name="一般_99Q3647-ALL-CAS2" xfId="44"/>
    <cellStyle name="千分位[0]_Book1" xfId="45"/>
    <cellStyle name="千分位_99Q3647-ALL-CAS2" xfId="46"/>
    <cellStyle name="貨幣 [0]_Book1" xfId="47"/>
    <cellStyle name="貨幣[0]_BRE" xfId="48"/>
    <cellStyle name="貨幣_Book1"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0"/>
  <sheetViews>
    <sheetView workbookViewId="0">
      <selection activeCell="D5" sqref="D5"/>
    </sheetView>
  </sheetViews>
  <sheetFormatPr defaultRowHeight="15"/>
  <cols>
    <col min="1" max="1" width="8.28515625" style="181" customWidth="1"/>
    <col min="2" max="2" width="20.28515625" style="181" customWidth="1"/>
    <col min="3" max="3" width="16.85546875" style="181" customWidth="1"/>
    <col min="4" max="4" width="19" style="181" customWidth="1"/>
    <col min="5" max="5" width="22" style="181" customWidth="1"/>
    <col min="6" max="6" width="18.5703125" style="181" customWidth="1"/>
    <col min="7" max="7" width="19.28515625" style="181" customWidth="1"/>
    <col min="8" max="8" width="12.7109375" style="181" bestFit="1" customWidth="1"/>
    <col min="9" max="9" width="9.5703125" style="181" bestFit="1" customWidth="1"/>
    <col min="10" max="16384" width="9.140625" style="181"/>
  </cols>
  <sheetData>
    <row r="1" spans="1:7" ht="19.5" customHeight="1">
      <c r="A1" s="560" t="s">
        <v>349</v>
      </c>
      <c r="B1" s="560"/>
      <c r="C1" s="560"/>
      <c r="D1" s="560"/>
      <c r="E1" s="560"/>
      <c r="F1" s="560"/>
      <c r="G1" s="560"/>
    </row>
    <row r="2" spans="1:7" ht="18.75">
      <c r="A2" s="560" t="s">
        <v>29</v>
      </c>
      <c r="B2" s="560"/>
      <c r="C2" s="560"/>
      <c r="D2" s="560"/>
      <c r="E2" s="560"/>
      <c r="F2" s="560"/>
      <c r="G2" s="560"/>
    </row>
    <row r="3" spans="1:7" ht="18.75">
      <c r="A3" s="182"/>
      <c r="B3" s="183"/>
      <c r="C3" s="183"/>
      <c r="D3" s="182"/>
      <c r="E3" s="184"/>
      <c r="F3" s="1" t="s">
        <v>0</v>
      </c>
      <c r="G3" s="182"/>
    </row>
    <row r="4" spans="1:7" ht="18.75">
      <c r="A4" s="182"/>
      <c r="B4" s="182"/>
      <c r="C4" s="182"/>
      <c r="D4" s="182"/>
      <c r="E4" s="185"/>
      <c r="F4" s="191">
        <v>1490000</v>
      </c>
      <c r="G4" s="192" t="s">
        <v>1</v>
      </c>
    </row>
    <row r="5" spans="1:7" ht="56.25">
      <c r="A5" s="175" t="s">
        <v>220</v>
      </c>
      <c r="B5" s="175" t="s">
        <v>3</v>
      </c>
      <c r="C5" s="175" t="s">
        <v>221</v>
      </c>
      <c r="D5" s="175" t="s">
        <v>4</v>
      </c>
      <c r="E5" s="56" t="s">
        <v>14</v>
      </c>
      <c r="F5" s="2" t="s">
        <v>222</v>
      </c>
      <c r="G5" s="193" t="s">
        <v>5</v>
      </c>
    </row>
    <row r="6" spans="1:7" s="186" customFormat="1" ht="39" customHeight="1">
      <c r="A6" s="8" t="s">
        <v>7</v>
      </c>
      <c r="B6" s="8" t="s">
        <v>8</v>
      </c>
      <c r="C6" s="8" t="s">
        <v>9</v>
      </c>
      <c r="D6" s="9" t="s">
        <v>223</v>
      </c>
      <c r="E6" s="20" t="s">
        <v>96</v>
      </c>
      <c r="F6" s="9" t="s">
        <v>97</v>
      </c>
      <c r="G6" s="9" t="s">
        <v>224</v>
      </c>
    </row>
    <row r="7" spans="1:7" ht="21.95" customHeight="1">
      <c r="A7" s="5">
        <v>1</v>
      </c>
      <c r="B7" s="187" t="s">
        <v>10</v>
      </c>
      <c r="C7" s="189">
        <f>C8+0.33</f>
        <v>3.33</v>
      </c>
      <c r="D7" s="3">
        <f>C7*$F$4</f>
        <v>4961700</v>
      </c>
      <c r="E7" s="19">
        <f>ROUND(0.235*(D7),0)</f>
        <v>1166000</v>
      </c>
      <c r="F7" s="4">
        <f>ROUND(D7+E7,0)</f>
        <v>6127700</v>
      </c>
      <c r="G7" s="4">
        <f>ROUND((F7/26),0)</f>
        <v>235681</v>
      </c>
    </row>
    <row r="8" spans="1:7" ht="21.95" customHeight="1">
      <c r="A8" s="5">
        <v>2</v>
      </c>
      <c r="B8" s="187" t="s">
        <v>11</v>
      </c>
      <c r="C8" s="189">
        <f>C9+0.33</f>
        <v>3</v>
      </c>
      <c r="D8" s="3">
        <f>C8*$F$4</f>
        <v>4470000</v>
      </c>
      <c r="E8" s="19">
        <f>ROUND(0.235*(D8),0)</f>
        <v>1050450</v>
      </c>
      <c r="F8" s="4">
        <f>ROUND(D8+E8,0)</f>
        <v>5520450</v>
      </c>
      <c r="G8" s="4">
        <f>ROUND((F8/26),0)</f>
        <v>212325</v>
      </c>
    </row>
    <row r="9" spans="1:7" ht="21.95" customHeight="1">
      <c r="A9" s="5">
        <v>3</v>
      </c>
      <c r="B9" s="187" t="s">
        <v>12</v>
      </c>
      <c r="C9" s="189">
        <f>C10+0.33</f>
        <v>2.67</v>
      </c>
      <c r="D9" s="3">
        <f>C9*$F$4</f>
        <v>3978300</v>
      </c>
      <c r="E9" s="19">
        <f>ROUND(0.235*(D9),0)</f>
        <v>934901</v>
      </c>
      <c r="F9" s="4">
        <f>ROUND(D9+E9,0)</f>
        <v>4913201</v>
      </c>
      <c r="G9" s="4">
        <f>ROUND((F9/26),0)</f>
        <v>188969</v>
      </c>
    </row>
    <row r="10" spans="1:7" ht="21.95" customHeight="1">
      <c r="A10" s="6">
        <v>4</v>
      </c>
      <c r="B10" s="188" t="s">
        <v>13</v>
      </c>
      <c r="C10" s="190">
        <v>2.34</v>
      </c>
      <c r="D10" s="7">
        <f>C10*$F$4</f>
        <v>3486600</v>
      </c>
      <c r="E10" s="180">
        <f>ROUND(0.235*(D10),0)</f>
        <v>819351</v>
      </c>
      <c r="F10" s="7">
        <f>ROUND(D10+E10,0)</f>
        <v>4305951</v>
      </c>
      <c r="G10" s="4">
        <f>ROUND((F10/26),0)</f>
        <v>165614</v>
      </c>
    </row>
  </sheetData>
  <mergeCells count="2">
    <mergeCell ref="A2:G2"/>
    <mergeCell ref="A1:G1"/>
  </mergeCells>
  <printOptions horizontalCentered="1"/>
  <pageMargins left="0.25" right="0.25" top="0.5" bottom="0.25" header="0.3" footer="0.2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1"/>
  <sheetViews>
    <sheetView topLeftCell="A4" workbookViewId="0">
      <selection activeCell="E8" sqref="E8"/>
    </sheetView>
  </sheetViews>
  <sheetFormatPr defaultRowHeight="15"/>
  <cols>
    <col min="1" max="1" width="7.5703125" style="81" customWidth="1"/>
    <col min="2" max="2" width="25.7109375" style="81" customWidth="1"/>
    <col min="3" max="3" width="9.140625" style="81"/>
    <col min="4" max="4" width="12.7109375" style="81" customWidth="1"/>
    <col min="5" max="5" width="11.5703125" style="81" customWidth="1"/>
    <col min="6" max="6" width="15.85546875" style="81" customWidth="1"/>
    <col min="7" max="7" width="16.7109375" style="81" customWidth="1"/>
    <col min="8" max="8" width="19" style="81" customWidth="1"/>
    <col min="9" max="9" width="20.28515625" style="81" customWidth="1"/>
    <col min="10" max="10" width="17.85546875" style="81" customWidth="1"/>
    <col min="11" max="16384" width="9.140625" style="81"/>
  </cols>
  <sheetData>
    <row r="1" spans="1:10" ht="18.75" customHeight="1">
      <c r="A1" s="575" t="s">
        <v>349</v>
      </c>
      <c r="B1" s="575"/>
      <c r="C1" s="575"/>
      <c r="D1" s="575"/>
      <c r="E1" s="575"/>
      <c r="F1" s="575"/>
      <c r="G1" s="575"/>
      <c r="H1" s="575"/>
      <c r="I1" s="225"/>
    </row>
    <row r="2" spans="1:10" ht="25.5" customHeight="1">
      <c r="A2" s="576" t="s">
        <v>260</v>
      </c>
      <c r="B2" s="576"/>
      <c r="C2" s="576"/>
      <c r="D2" s="226"/>
      <c r="E2" s="226"/>
      <c r="F2" s="226"/>
      <c r="G2" s="118"/>
      <c r="H2" s="118"/>
      <c r="I2" s="1" t="s">
        <v>94</v>
      </c>
    </row>
    <row r="3" spans="1:10" ht="18.75">
      <c r="A3" s="116" t="s">
        <v>33</v>
      </c>
      <c r="B3" s="574" t="s">
        <v>67</v>
      </c>
      <c r="C3" s="574"/>
      <c r="D3" s="574"/>
      <c r="E3" s="118"/>
      <c r="F3" s="118"/>
      <c r="G3" s="118"/>
      <c r="H3" s="118"/>
      <c r="I3" s="225"/>
    </row>
    <row r="4" spans="1:10" ht="18.75">
      <c r="A4" s="116" t="s">
        <v>120</v>
      </c>
      <c r="B4" s="574" t="s">
        <v>296</v>
      </c>
      <c r="C4" s="574"/>
      <c r="D4" s="574"/>
      <c r="E4" s="574"/>
      <c r="F4" s="574"/>
      <c r="G4" s="118"/>
      <c r="H4" s="118"/>
      <c r="I4" s="225"/>
    </row>
    <row r="5" spans="1:10" ht="18.75">
      <c r="A5" s="54"/>
      <c r="B5" s="227"/>
      <c r="C5" s="54"/>
      <c r="D5" s="117"/>
      <c r="E5" s="118"/>
      <c r="F5" s="118"/>
      <c r="G5" s="118"/>
      <c r="H5" s="118"/>
      <c r="I5" s="225"/>
    </row>
    <row r="6" spans="1:10" s="165" customFormat="1" ht="47.25">
      <c r="A6" s="282" t="s">
        <v>2</v>
      </c>
      <c r="B6" s="282" t="s">
        <v>68</v>
      </c>
      <c r="C6" s="282" t="s">
        <v>48</v>
      </c>
      <c r="D6" s="282" t="s">
        <v>179</v>
      </c>
      <c r="E6" s="282" t="s">
        <v>180</v>
      </c>
      <c r="F6" s="283" t="s">
        <v>181</v>
      </c>
      <c r="G6" s="282" t="s">
        <v>278</v>
      </c>
      <c r="H6" s="283" t="s">
        <v>70</v>
      </c>
      <c r="I6" s="284" t="s">
        <v>71</v>
      </c>
      <c r="J6" s="331" t="s">
        <v>277</v>
      </c>
    </row>
    <row r="7" spans="1:10" s="165" customFormat="1" ht="25.5" customHeight="1">
      <c r="A7" s="286" t="s">
        <v>7</v>
      </c>
      <c r="B7" s="286" t="s">
        <v>8</v>
      </c>
      <c r="C7" s="286" t="s">
        <v>9</v>
      </c>
      <c r="D7" s="286" t="s">
        <v>21</v>
      </c>
      <c r="E7" s="286" t="s">
        <v>52</v>
      </c>
      <c r="F7" s="286" t="s">
        <v>22</v>
      </c>
      <c r="G7" s="286" t="s">
        <v>23</v>
      </c>
      <c r="H7" s="287" t="s">
        <v>184</v>
      </c>
      <c r="I7" s="287" t="s">
        <v>183</v>
      </c>
      <c r="J7" s="332" t="s">
        <v>275</v>
      </c>
    </row>
    <row r="8" spans="1:10" s="165" customFormat="1" ht="31.5">
      <c r="A8" s="177">
        <v>1</v>
      </c>
      <c r="B8" s="289" t="s">
        <v>175</v>
      </c>
      <c r="C8" s="290" t="s">
        <v>55</v>
      </c>
      <c r="D8" s="290">
        <v>2.2000000000000002</v>
      </c>
      <c r="E8" s="290">
        <v>10</v>
      </c>
      <c r="F8" s="290">
        <v>0.28999999999999998</v>
      </c>
      <c r="G8" s="291">
        <v>8990000</v>
      </c>
      <c r="H8" s="291">
        <f>ROUND((G8/(E8*500)),0)</f>
        <v>1798</v>
      </c>
      <c r="I8" s="291">
        <f>ROUND(F8*H8,0)</f>
        <v>521</v>
      </c>
      <c r="J8" s="333"/>
    </row>
    <row r="9" spans="1:10" s="165" customFormat="1" ht="24.95" customHeight="1">
      <c r="A9" s="177">
        <v>2</v>
      </c>
      <c r="B9" s="293" t="s">
        <v>72</v>
      </c>
      <c r="C9" s="290" t="s">
        <v>55</v>
      </c>
      <c r="D9" s="290">
        <v>0.4</v>
      </c>
      <c r="E9" s="290">
        <v>10</v>
      </c>
      <c r="F9" s="290">
        <v>0.1</v>
      </c>
      <c r="G9" s="291">
        <v>9590000</v>
      </c>
      <c r="H9" s="291">
        <f>ROUND((G9/(E9*500)),0)</f>
        <v>1918</v>
      </c>
      <c r="I9" s="291">
        <f>ROUND(F9*H9,0)</f>
        <v>192</v>
      </c>
      <c r="J9" s="334"/>
    </row>
    <row r="10" spans="1:10" s="165" customFormat="1" ht="24.95" customHeight="1">
      <c r="A10" s="177">
        <v>3</v>
      </c>
      <c r="B10" s="293" t="s">
        <v>176</v>
      </c>
      <c r="C10" s="290" t="s">
        <v>55</v>
      </c>
      <c r="D10" s="290">
        <v>1.5</v>
      </c>
      <c r="E10" s="290">
        <v>10</v>
      </c>
      <c r="F10" s="290">
        <v>0.03</v>
      </c>
      <c r="G10" s="291">
        <v>69000000</v>
      </c>
      <c r="H10" s="291">
        <f>ROUND((G10/(E10*500)),0)</f>
        <v>13800</v>
      </c>
      <c r="I10" s="291">
        <f>ROUND(F10*H10,0)</f>
        <v>414</v>
      </c>
      <c r="J10" s="334"/>
    </row>
    <row r="11" spans="1:10" s="165" customFormat="1" ht="24.95" customHeight="1">
      <c r="A11" s="177">
        <v>4</v>
      </c>
      <c r="B11" s="316" t="s">
        <v>177</v>
      </c>
      <c r="C11" s="317" t="s">
        <v>55</v>
      </c>
      <c r="D11" s="290">
        <v>0.4</v>
      </c>
      <c r="E11" s="290">
        <v>10</v>
      </c>
      <c r="F11" s="290">
        <v>0.01</v>
      </c>
      <c r="G11" s="291">
        <v>4800000</v>
      </c>
      <c r="H11" s="291">
        <f>ROUND((G11/(E11*500)),0)</f>
        <v>960</v>
      </c>
      <c r="I11" s="291">
        <f>ROUND(F11*H11,0)</f>
        <v>10</v>
      </c>
      <c r="J11" s="334"/>
    </row>
    <row r="12" spans="1:10" s="165" customFormat="1" ht="24.95" customHeight="1">
      <c r="A12" s="177">
        <v>5</v>
      </c>
      <c r="B12" s="295" t="s">
        <v>57</v>
      </c>
      <c r="C12" s="296" t="s">
        <v>73</v>
      </c>
      <c r="D12" s="296"/>
      <c r="E12" s="296"/>
      <c r="F12" s="296">
        <v>6.11</v>
      </c>
      <c r="G12" s="306">
        <v>1864.44</v>
      </c>
      <c r="H12" s="297"/>
      <c r="I12" s="298"/>
      <c r="J12" s="298">
        <f>F12*G12</f>
        <v>11391.728400000002</v>
      </c>
    </row>
    <row r="13" spans="1:10" s="165" customFormat="1" ht="21" customHeight="1">
      <c r="A13" s="591" t="s">
        <v>65</v>
      </c>
      <c r="B13" s="592"/>
      <c r="C13" s="592"/>
      <c r="D13" s="592"/>
      <c r="E13" s="592"/>
      <c r="F13" s="592"/>
      <c r="G13" s="592"/>
      <c r="H13" s="593"/>
      <c r="I13" s="300">
        <f>SUM(I8:I12)</f>
        <v>1137</v>
      </c>
      <c r="J13" s="335">
        <f>J12</f>
        <v>11391.728400000002</v>
      </c>
    </row>
    <row r="14" spans="1:10" s="165" customFormat="1" ht="6.75" customHeight="1">
      <c r="A14" s="328"/>
      <c r="B14" s="329"/>
      <c r="C14" s="329"/>
      <c r="D14" s="329"/>
      <c r="E14" s="329"/>
      <c r="F14" s="329"/>
      <c r="G14" s="328"/>
      <c r="H14" s="328"/>
      <c r="I14" s="330"/>
      <c r="J14" s="336"/>
    </row>
    <row r="15" spans="1:10" ht="18.75">
      <c r="A15" s="54"/>
      <c r="B15" s="594" t="s">
        <v>74</v>
      </c>
      <c r="C15" s="594"/>
      <c r="D15" s="594"/>
      <c r="E15" s="594"/>
      <c r="F15" s="594"/>
      <c r="G15" s="228"/>
      <c r="H15" s="118"/>
      <c r="I15" s="392">
        <v>52636</v>
      </c>
      <c r="J15" s="393">
        <v>135806</v>
      </c>
    </row>
    <row r="16" spans="1:10" ht="18.75" customHeight="1">
      <c r="B16" s="595" t="s">
        <v>76</v>
      </c>
      <c r="C16" s="595"/>
      <c r="D16" s="595"/>
      <c r="E16" s="595"/>
      <c r="F16" s="165"/>
    </row>
    <row r="17" spans="1:9" ht="7.5" customHeight="1">
      <c r="B17" s="165"/>
      <c r="C17" s="165"/>
      <c r="D17" s="165"/>
      <c r="E17" s="165"/>
      <c r="F17" s="165"/>
    </row>
    <row r="18" spans="1:9" ht="22.5" customHeight="1">
      <c r="A18" s="576" t="s">
        <v>351</v>
      </c>
      <c r="B18" s="576"/>
      <c r="C18" s="576"/>
      <c r="D18" s="576"/>
      <c r="E18" s="576"/>
      <c r="F18" s="576"/>
      <c r="G18" s="576"/>
      <c r="H18" s="576"/>
      <c r="I18" s="576"/>
    </row>
    <row r="19" spans="1:9" ht="4.5" customHeight="1">
      <c r="F19" s="80"/>
    </row>
    <row r="20" spans="1:9" ht="36" customHeight="1">
      <c r="A20" s="579" t="s">
        <v>144</v>
      </c>
      <c r="B20" s="579"/>
      <c r="C20" s="577" t="s">
        <v>145</v>
      </c>
      <c r="D20" s="577"/>
      <c r="E20" s="577"/>
      <c r="F20" s="326" t="s">
        <v>232</v>
      </c>
      <c r="G20" s="326" t="s">
        <v>233</v>
      </c>
    </row>
    <row r="21" spans="1:9" ht="42" customHeight="1">
      <c r="A21" s="580" t="s">
        <v>296</v>
      </c>
      <c r="B21" s="580"/>
      <c r="C21" s="578">
        <v>0.56000000000000005</v>
      </c>
      <c r="D21" s="578"/>
      <c r="E21" s="578"/>
      <c r="F21" s="337">
        <f>ROUND((I13*C21),0)</f>
        <v>637</v>
      </c>
      <c r="G21" s="337">
        <f>ROUND((J13*C21),0)</f>
        <v>6379</v>
      </c>
    </row>
  </sheetData>
  <mergeCells count="12">
    <mergeCell ref="A20:B20"/>
    <mergeCell ref="C20:E20"/>
    <mergeCell ref="A21:B21"/>
    <mergeCell ref="C21:E21"/>
    <mergeCell ref="B16:E16"/>
    <mergeCell ref="A1:H1"/>
    <mergeCell ref="B3:D3"/>
    <mergeCell ref="B4:F4"/>
    <mergeCell ref="A13:H13"/>
    <mergeCell ref="B15:F15"/>
    <mergeCell ref="A18:I18"/>
    <mergeCell ref="A2:C2"/>
  </mergeCells>
  <printOptions horizontalCentered="1"/>
  <pageMargins left="0.2" right="0" top="0.5" bottom="0.25" header="0.3" footer="0.3"/>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6" workbookViewId="0">
      <selection activeCell="E11" sqref="E11"/>
    </sheetView>
  </sheetViews>
  <sheetFormatPr defaultRowHeight="15"/>
  <cols>
    <col min="1" max="1" width="7.5703125" style="81" customWidth="1"/>
    <col min="2" max="2" width="25.7109375" style="81" customWidth="1"/>
    <col min="3" max="3" width="9.140625" style="81"/>
    <col min="4" max="4" width="12.7109375" style="81" customWidth="1"/>
    <col min="5" max="5" width="11.5703125" style="81" customWidth="1"/>
    <col min="6" max="6" width="15.85546875" style="81" customWidth="1"/>
    <col min="7" max="7" width="16.7109375" style="81" customWidth="1"/>
    <col min="8" max="8" width="19" style="81" customWidth="1"/>
    <col min="9" max="9" width="20.28515625" style="81" customWidth="1"/>
    <col min="10" max="10" width="17.85546875" style="81" customWidth="1"/>
    <col min="11" max="16384" width="9.140625" style="81"/>
  </cols>
  <sheetData>
    <row r="1" spans="1:10" ht="18.75" customHeight="1">
      <c r="A1" s="575" t="s">
        <v>349</v>
      </c>
      <c r="B1" s="575"/>
      <c r="C1" s="575"/>
      <c r="D1" s="575"/>
      <c r="E1" s="575"/>
      <c r="F1" s="575"/>
      <c r="G1" s="575"/>
      <c r="H1" s="575"/>
      <c r="I1" s="225"/>
    </row>
    <row r="2" spans="1:10" ht="25.5" customHeight="1">
      <c r="A2" s="576" t="s">
        <v>260</v>
      </c>
      <c r="B2" s="576"/>
      <c r="C2" s="576"/>
      <c r="D2" s="226"/>
      <c r="E2" s="226"/>
      <c r="F2" s="226"/>
      <c r="G2" s="118"/>
      <c r="H2" s="118"/>
      <c r="I2" s="1" t="s">
        <v>205</v>
      </c>
    </row>
    <row r="3" spans="1:10" ht="18.75">
      <c r="A3" s="116" t="s">
        <v>33</v>
      </c>
      <c r="B3" s="574" t="s">
        <v>67</v>
      </c>
      <c r="C3" s="574"/>
      <c r="D3" s="574"/>
      <c r="E3" s="118"/>
      <c r="F3" s="118"/>
      <c r="G3" s="118"/>
      <c r="H3" s="118"/>
      <c r="I3" s="225"/>
    </row>
    <row r="4" spans="1:10" ht="18.75">
      <c r="A4" s="116" t="s">
        <v>121</v>
      </c>
      <c r="B4" s="574" t="s">
        <v>99</v>
      </c>
      <c r="C4" s="574"/>
      <c r="D4" s="574"/>
      <c r="E4" s="574"/>
      <c r="F4" s="574"/>
      <c r="G4" s="118"/>
      <c r="H4" s="118"/>
      <c r="I4" s="225"/>
    </row>
    <row r="5" spans="1:10" ht="18.75">
      <c r="A5" s="54"/>
      <c r="B5" s="227"/>
      <c r="C5" s="54"/>
      <c r="D5" s="117"/>
      <c r="E5" s="118"/>
      <c r="F5" s="118"/>
      <c r="G5" s="118"/>
      <c r="H5" s="118"/>
      <c r="I5" s="225"/>
    </row>
    <row r="6" spans="1:10" s="165" customFormat="1" ht="47.25">
      <c r="A6" s="282" t="s">
        <v>2</v>
      </c>
      <c r="B6" s="282" t="s">
        <v>68</v>
      </c>
      <c r="C6" s="282" t="s">
        <v>48</v>
      </c>
      <c r="D6" s="282" t="s">
        <v>179</v>
      </c>
      <c r="E6" s="282" t="s">
        <v>180</v>
      </c>
      <c r="F6" s="283" t="s">
        <v>181</v>
      </c>
      <c r="G6" s="282" t="s">
        <v>278</v>
      </c>
      <c r="H6" s="283" t="s">
        <v>70</v>
      </c>
      <c r="I6" s="284" t="s">
        <v>71</v>
      </c>
      <c r="J6" s="331" t="s">
        <v>277</v>
      </c>
    </row>
    <row r="7" spans="1:10" s="165" customFormat="1" ht="25.5" customHeight="1">
      <c r="A7" s="286" t="s">
        <v>7</v>
      </c>
      <c r="B7" s="286" t="s">
        <v>8</v>
      </c>
      <c r="C7" s="286" t="s">
        <v>9</v>
      </c>
      <c r="D7" s="286" t="s">
        <v>21</v>
      </c>
      <c r="E7" s="286" t="s">
        <v>52</v>
      </c>
      <c r="F7" s="286" t="s">
        <v>22</v>
      </c>
      <c r="G7" s="286" t="s">
        <v>23</v>
      </c>
      <c r="H7" s="287" t="s">
        <v>184</v>
      </c>
      <c r="I7" s="287" t="s">
        <v>183</v>
      </c>
      <c r="J7" s="332" t="s">
        <v>275</v>
      </c>
    </row>
    <row r="8" spans="1:10" s="165" customFormat="1" ht="31.5">
      <c r="A8" s="177">
        <v>1</v>
      </c>
      <c r="B8" s="289" t="s">
        <v>175</v>
      </c>
      <c r="C8" s="290" t="s">
        <v>55</v>
      </c>
      <c r="D8" s="290">
        <v>2.2000000000000002</v>
      </c>
      <c r="E8" s="290">
        <v>10</v>
      </c>
      <c r="F8" s="290">
        <v>1.3</v>
      </c>
      <c r="G8" s="291">
        <v>8990000</v>
      </c>
      <c r="H8" s="291">
        <f>ROUND((G8/(E8*500)),0)</f>
        <v>1798</v>
      </c>
      <c r="I8" s="291">
        <f>ROUND(F8*H8,0)</f>
        <v>2337</v>
      </c>
      <c r="J8" s="333"/>
    </row>
    <row r="9" spans="1:10" s="165" customFormat="1" ht="24.95" customHeight="1">
      <c r="A9" s="177">
        <v>2</v>
      </c>
      <c r="B9" s="293" t="s">
        <v>72</v>
      </c>
      <c r="C9" s="290" t="s">
        <v>55</v>
      </c>
      <c r="D9" s="290">
        <v>0.4</v>
      </c>
      <c r="E9" s="290">
        <v>10</v>
      </c>
      <c r="F9" s="290">
        <v>5.8</v>
      </c>
      <c r="G9" s="291">
        <v>9590000</v>
      </c>
      <c r="H9" s="291">
        <f>ROUND((G9/(E9*500)),0)</f>
        <v>1918</v>
      </c>
      <c r="I9" s="291">
        <f>ROUND(F9*H9,0)</f>
        <v>11124</v>
      </c>
      <c r="J9" s="334"/>
    </row>
    <row r="10" spans="1:10" s="165" customFormat="1" ht="24.95" customHeight="1">
      <c r="A10" s="177">
        <v>3</v>
      </c>
      <c r="B10" s="293" t="s">
        <v>176</v>
      </c>
      <c r="C10" s="290" t="s">
        <v>55</v>
      </c>
      <c r="D10" s="290">
        <v>1.5</v>
      </c>
      <c r="E10" s="290">
        <v>10</v>
      </c>
      <c r="F10" s="290">
        <v>0.85</v>
      </c>
      <c r="G10" s="291">
        <v>69000000</v>
      </c>
      <c r="H10" s="291">
        <f>ROUND((G10/(E10*500)),0)</f>
        <v>13800</v>
      </c>
      <c r="I10" s="291">
        <f>ROUND(F10*H10,0)</f>
        <v>11730</v>
      </c>
      <c r="J10" s="334"/>
    </row>
    <row r="11" spans="1:10" s="165" customFormat="1" ht="24.95" customHeight="1">
      <c r="A11" s="177">
        <v>4</v>
      </c>
      <c r="B11" s="316" t="s">
        <v>177</v>
      </c>
      <c r="C11" s="317" t="s">
        <v>55</v>
      </c>
      <c r="D11" s="290">
        <v>0.4</v>
      </c>
      <c r="E11" s="290">
        <v>10</v>
      </c>
      <c r="F11" s="290">
        <v>0.28999999999999998</v>
      </c>
      <c r="G11" s="291">
        <v>4800000</v>
      </c>
      <c r="H11" s="291">
        <f>ROUND((G11/(E11*500)),0)</f>
        <v>960</v>
      </c>
      <c r="I11" s="291">
        <f>ROUND(F11*H11,0)</f>
        <v>278</v>
      </c>
      <c r="J11" s="334"/>
    </row>
    <row r="12" spans="1:10" s="165" customFormat="1" ht="24.95" customHeight="1">
      <c r="A12" s="177">
        <v>5</v>
      </c>
      <c r="B12" s="295" t="s">
        <v>57</v>
      </c>
      <c r="C12" s="296" t="s">
        <v>73</v>
      </c>
      <c r="D12" s="296"/>
      <c r="E12" s="296"/>
      <c r="F12" s="296">
        <v>55.2</v>
      </c>
      <c r="G12" s="306">
        <v>1864.44</v>
      </c>
      <c r="H12" s="297"/>
      <c r="I12" s="298"/>
      <c r="J12" s="298">
        <f>F12*G12</f>
        <v>102917.088</v>
      </c>
    </row>
    <row r="13" spans="1:10" s="165" customFormat="1" ht="21" customHeight="1">
      <c r="A13" s="591" t="s">
        <v>65</v>
      </c>
      <c r="B13" s="592"/>
      <c r="C13" s="592"/>
      <c r="D13" s="592"/>
      <c r="E13" s="592"/>
      <c r="F13" s="592"/>
      <c r="G13" s="592"/>
      <c r="H13" s="593"/>
      <c r="I13" s="300">
        <f>SUM(I8:I12)</f>
        <v>25469</v>
      </c>
      <c r="J13" s="335">
        <f>J12</f>
        <v>102917.088</v>
      </c>
    </row>
    <row r="14" spans="1:10" s="165" customFormat="1" ht="6.75" customHeight="1">
      <c r="A14" s="328"/>
      <c r="B14" s="329"/>
      <c r="C14" s="329"/>
      <c r="D14" s="329"/>
      <c r="E14" s="329"/>
      <c r="F14" s="329"/>
      <c r="G14" s="328"/>
      <c r="H14" s="328"/>
      <c r="I14" s="330"/>
      <c r="J14" s="336"/>
    </row>
    <row r="15" spans="1:10" ht="18.75">
      <c r="A15" s="54"/>
      <c r="B15" s="594" t="s">
        <v>74</v>
      </c>
      <c r="C15" s="594"/>
      <c r="D15" s="594"/>
      <c r="E15" s="594"/>
      <c r="F15" s="594"/>
      <c r="G15" s="228"/>
      <c r="H15" s="118"/>
      <c r="I15" s="392">
        <v>52636</v>
      </c>
      <c r="J15" s="393">
        <v>135806</v>
      </c>
    </row>
    <row r="16" spans="1:10" ht="18.75" customHeight="1">
      <c r="B16" s="595" t="s">
        <v>76</v>
      </c>
      <c r="C16" s="595"/>
      <c r="D16" s="595"/>
      <c r="E16" s="595"/>
      <c r="F16" s="165"/>
    </row>
    <row r="17" spans="1:9" ht="7.5" customHeight="1">
      <c r="B17" s="165"/>
      <c r="C17" s="165"/>
      <c r="D17" s="165"/>
      <c r="E17" s="165"/>
      <c r="F17" s="165"/>
    </row>
    <row r="18" spans="1:9" ht="22.5" customHeight="1">
      <c r="A18" s="576" t="s">
        <v>186</v>
      </c>
      <c r="B18" s="576"/>
      <c r="C18" s="576"/>
      <c r="D18" s="576"/>
      <c r="E18" s="576"/>
      <c r="F18" s="576"/>
      <c r="G18" s="576"/>
      <c r="H18" s="576"/>
      <c r="I18" s="576"/>
    </row>
    <row r="19" spans="1:9" ht="4.5" customHeight="1">
      <c r="F19" s="80"/>
    </row>
    <row r="20" spans="1:9" ht="36" customHeight="1">
      <c r="A20" s="579" t="s">
        <v>144</v>
      </c>
      <c r="B20" s="579"/>
      <c r="C20" s="577" t="s">
        <v>145</v>
      </c>
      <c r="D20" s="577"/>
      <c r="E20" s="577"/>
      <c r="F20" s="413" t="s">
        <v>232</v>
      </c>
      <c r="G20" s="413" t="s">
        <v>233</v>
      </c>
    </row>
    <row r="21" spans="1:9" ht="42" customHeight="1">
      <c r="A21" s="580" t="s">
        <v>99</v>
      </c>
      <c r="B21" s="580"/>
      <c r="C21" s="578">
        <v>0.6</v>
      </c>
      <c r="D21" s="578"/>
      <c r="E21" s="578"/>
      <c r="F21" s="337">
        <f>ROUND((I13*C21),0)</f>
        <v>15281</v>
      </c>
      <c r="G21" s="337">
        <f>ROUND((J13*C21),0)</f>
        <v>61750</v>
      </c>
    </row>
  </sheetData>
  <mergeCells count="12">
    <mergeCell ref="A1:H1"/>
    <mergeCell ref="A2:C2"/>
    <mergeCell ref="B3:D3"/>
    <mergeCell ref="B4:F4"/>
    <mergeCell ref="A13:H13"/>
    <mergeCell ref="B15:F15"/>
    <mergeCell ref="B16:E16"/>
    <mergeCell ref="A18:I18"/>
    <mergeCell ref="A20:B20"/>
    <mergeCell ref="C20:E20"/>
    <mergeCell ref="A21:B21"/>
    <mergeCell ref="C21:E21"/>
  </mergeCells>
  <printOptions horizontalCentered="1"/>
  <pageMargins left="0.2" right="0" top="0.5" bottom="0.25" header="0.3" footer="0.3"/>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4" workbookViewId="0">
      <selection activeCell="E12" sqref="E12"/>
    </sheetView>
  </sheetViews>
  <sheetFormatPr defaultRowHeight="15"/>
  <cols>
    <col min="1" max="1" width="7.5703125" customWidth="1"/>
    <col min="2" max="2" width="27.140625" customWidth="1"/>
    <col min="3" max="3" width="10.85546875" customWidth="1"/>
    <col min="4" max="4" width="12.5703125" style="181" customWidth="1"/>
    <col min="5" max="5" width="12.28515625" customWidth="1"/>
    <col min="6" max="6" width="15" customWidth="1"/>
    <col min="7" max="7" width="15.85546875" customWidth="1"/>
    <col min="8" max="8" width="15.28515625" customWidth="1"/>
    <col min="9" max="9" width="14.28515625" customWidth="1"/>
    <col min="10" max="10" width="14.5703125" customWidth="1"/>
  </cols>
  <sheetData>
    <row r="1" spans="1:10" ht="18" customHeight="1">
      <c r="A1" s="575" t="s">
        <v>349</v>
      </c>
      <c r="B1" s="575"/>
      <c r="C1" s="575"/>
      <c r="D1" s="575"/>
      <c r="E1" s="575"/>
      <c r="F1" s="575"/>
      <c r="G1" s="575"/>
      <c r="H1" s="575"/>
      <c r="I1" s="13"/>
    </row>
    <row r="2" spans="1:10" ht="21" customHeight="1">
      <c r="A2" s="598" t="s">
        <v>260</v>
      </c>
      <c r="B2" s="598"/>
      <c r="C2" s="598"/>
      <c r="D2" s="226"/>
      <c r="E2" s="16"/>
      <c r="F2" s="16"/>
      <c r="G2" s="12"/>
      <c r="H2" s="12"/>
      <c r="I2" s="1" t="s">
        <v>206</v>
      </c>
    </row>
    <row r="3" spans="1:10" ht="18.75">
      <c r="A3" s="10" t="s">
        <v>33</v>
      </c>
      <c r="B3" s="596" t="s">
        <v>67</v>
      </c>
      <c r="C3" s="596"/>
      <c r="D3" s="596"/>
      <c r="E3" s="12"/>
      <c r="F3" s="12"/>
      <c r="G3" s="12"/>
      <c r="H3" s="12"/>
      <c r="I3" s="13"/>
    </row>
    <row r="4" spans="1:10" ht="18.75">
      <c r="A4" s="116" t="s">
        <v>122</v>
      </c>
      <c r="B4" s="574" t="s">
        <v>100</v>
      </c>
      <c r="C4" s="574"/>
      <c r="D4" s="574"/>
      <c r="E4" s="574"/>
      <c r="F4" s="574"/>
      <c r="G4" s="12"/>
      <c r="H4" s="12"/>
      <c r="I4" s="13"/>
    </row>
    <row r="5" spans="1:10" ht="3.75" customHeight="1">
      <c r="A5" s="17"/>
      <c r="B5" s="14"/>
      <c r="C5" s="17"/>
      <c r="D5" s="117"/>
      <c r="E5" s="12"/>
      <c r="F5" s="12"/>
      <c r="G5" s="12"/>
      <c r="H5" s="12"/>
      <c r="I5" s="13"/>
    </row>
    <row r="6" spans="1:10" s="260" customFormat="1" ht="60.75" customHeight="1">
      <c r="A6" s="282" t="s">
        <v>2</v>
      </c>
      <c r="B6" s="282" t="s">
        <v>68</v>
      </c>
      <c r="C6" s="282" t="s">
        <v>48</v>
      </c>
      <c r="D6" s="282" t="s">
        <v>179</v>
      </c>
      <c r="E6" s="282" t="s">
        <v>180</v>
      </c>
      <c r="F6" s="283" t="s">
        <v>181</v>
      </c>
      <c r="G6" s="282" t="s">
        <v>278</v>
      </c>
      <c r="H6" s="283" t="s">
        <v>70</v>
      </c>
      <c r="I6" s="284" t="s">
        <v>71</v>
      </c>
      <c r="J6" s="285" t="s">
        <v>277</v>
      </c>
    </row>
    <row r="7" spans="1:10" s="260" customFormat="1" ht="31.5">
      <c r="A7" s="286" t="s">
        <v>7</v>
      </c>
      <c r="B7" s="286" t="s">
        <v>8</v>
      </c>
      <c r="C7" s="286" t="s">
        <v>9</v>
      </c>
      <c r="D7" s="286" t="s">
        <v>21</v>
      </c>
      <c r="E7" s="286" t="s">
        <v>52</v>
      </c>
      <c r="F7" s="286" t="s">
        <v>22</v>
      </c>
      <c r="G7" s="286" t="s">
        <v>23</v>
      </c>
      <c r="H7" s="287" t="s">
        <v>290</v>
      </c>
      <c r="I7" s="287" t="s">
        <v>183</v>
      </c>
      <c r="J7" s="288" t="s">
        <v>275</v>
      </c>
    </row>
    <row r="8" spans="1:10" s="260" customFormat="1" ht="36.75" customHeight="1">
      <c r="A8" s="177">
        <v>1</v>
      </c>
      <c r="B8" s="289" t="s">
        <v>175</v>
      </c>
      <c r="C8" s="290" t="s">
        <v>55</v>
      </c>
      <c r="D8" s="290">
        <v>2.2000000000000002</v>
      </c>
      <c r="E8" s="290">
        <v>10</v>
      </c>
      <c r="F8" s="290">
        <v>31.29</v>
      </c>
      <c r="G8" s="291">
        <v>8990000</v>
      </c>
      <c r="H8" s="291">
        <f>ROUND(G8/(500*E8),0)</f>
        <v>1798</v>
      </c>
      <c r="I8" s="291">
        <f>ROUND(F8*H8,0)</f>
        <v>56259</v>
      </c>
      <c r="J8" s="292"/>
    </row>
    <row r="9" spans="1:10" s="260" customFormat="1" ht="27.75" customHeight="1">
      <c r="A9" s="177">
        <v>2</v>
      </c>
      <c r="B9" s="293" t="s">
        <v>72</v>
      </c>
      <c r="C9" s="290" t="s">
        <v>55</v>
      </c>
      <c r="D9" s="290">
        <v>0.4</v>
      </c>
      <c r="E9" s="290">
        <v>10</v>
      </c>
      <c r="F9" s="290">
        <v>35.020000000000003</v>
      </c>
      <c r="G9" s="291">
        <v>9590000</v>
      </c>
      <c r="H9" s="291">
        <f>ROUND(G9/(500*E9),0)</f>
        <v>1918</v>
      </c>
      <c r="I9" s="291">
        <f>ROUND(F9*H9,0)</f>
        <v>67168</v>
      </c>
      <c r="J9" s="294"/>
    </row>
    <row r="10" spans="1:10" s="260" customFormat="1" ht="26.25" customHeight="1">
      <c r="A10" s="177">
        <v>3</v>
      </c>
      <c r="B10" s="293" t="s">
        <v>176</v>
      </c>
      <c r="C10" s="290" t="s">
        <v>55</v>
      </c>
      <c r="D10" s="290">
        <v>1.5</v>
      </c>
      <c r="E10" s="290">
        <v>10</v>
      </c>
      <c r="F10" s="290">
        <v>6.88</v>
      </c>
      <c r="G10" s="291">
        <v>69000000</v>
      </c>
      <c r="H10" s="291">
        <f>ROUND(G10/(500*E10),0)</f>
        <v>13800</v>
      </c>
      <c r="I10" s="291">
        <f>ROUND(F10*H10,0)</f>
        <v>94944</v>
      </c>
      <c r="J10" s="294"/>
    </row>
    <row r="11" spans="1:10" s="260" customFormat="1" ht="27" customHeight="1">
      <c r="A11" s="177">
        <v>4</v>
      </c>
      <c r="B11" s="316" t="s">
        <v>177</v>
      </c>
      <c r="C11" s="317" t="s">
        <v>55</v>
      </c>
      <c r="D11" s="290">
        <v>0.4</v>
      </c>
      <c r="E11" s="290">
        <v>10</v>
      </c>
      <c r="F11" s="290">
        <v>2.34</v>
      </c>
      <c r="G11" s="291">
        <v>4800000</v>
      </c>
      <c r="H11" s="291">
        <f>ROUND(G11/(500*E11),0)</f>
        <v>960</v>
      </c>
      <c r="I11" s="291">
        <f>ROUND(F11*H11,0)</f>
        <v>2246</v>
      </c>
      <c r="J11" s="294"/>
    </row>
    <row r="12" spans="1:10" s="260" customFormat="1" ht="28.5" customHeight="1">
      <c r="A12" s="177">
        <v>5</v>
      </c>
      <c r="B12" s="293" t="s">
        <v>178</v>
      </c>
      <c r="C12" s="290" t="s">
        <v>55</v>
      </c>
      <c r="D12" s="290">
        <v>0.5</v>
      </c>
      <c r="E12" s="290">
        <v>10</v>
      </c>
      <c r="F12" s="290">
        <v>1.1499999999999999</v>
      </c>
      <c r="G12" s="291">
        <v>400000</v>
      </c>
      <c r="H12" s="291">
        <f>ROUND(G12/(500*E12),0)</f>
        <v>80</v>
      </c>
      <c r="I12" s="291">
        <f>ROUND(F12*H12,0)</f>
        <v>92</v>
      </c>
      <c r="J12" s="294"/>
    </row>
    <row r="13" spans="1:10" s="260" customFormat="1" ht="29.25" customHeight="1">
      <c r="A13" s="177">
        <v>6</v>
      </c>
      <c r="B13" s="295" t="s">
        <v>57</v>
      </c>
      <c r="C13" s="296" t="s">
        <v>73</v>
      </c>
      <c r="D13" s="297"/>
      <c r="E13" s="297"/>
      <c r="F13" s="296">
        <v>794.32</v>
      </c>
      <c r="G13" s="306">
        <v>1864.44</v>
      </c>
      <c r="H13" s="297"/>
      <c r="J13" s="321">
        <f>ROUND(F13*G13,0)</f>
        <v>1480962</v>
      </c>
    </row>
    <row r="14" spans="1:10" s="260" customFormat="1" ht="26.25" customHeight="1">
      <c r="A14" s="591" t="s">
        <v>65</v>
      </c>
      <c r="B14" s="592"/>
      <c r="C14" s="592"/>
      <c r="D14" s="592"/>
      <c r="E14" s="592"/>
      <c r="F14" s="592"/>
      <c r="G14" s="592"/>
      <c r="H14" s="593"/>
      <c r="I14" s="300">
        <f>SUM(I8:I13)</f>
        <v>220709</v>
      </c>
      <c r="J14" s="322">
        <f>J13</f>
        <v>1480962</v>
      </c>
    </row>
    <row r="15" spans="1:10" ht="6" customHeight="1">
      <c r="A15" s="252"/>
      <c r="B15" s="253"/>
      <c r="C15" s="253"/>
      <c r="D15" s="253"/>
      <c r="E15" s="253"/>
      <c r="F15" s="253"/>
      <c r="G15" s="252"/>
      <c r="H15" s="252"/>
      <c r="I15" s="254"/>
      <c r="J15" s="320"/>
    </row>
    <row r="16" spans="1:10" ht="18.75">
      <c r="A16" s="17"/>
      <c r="B16" s="597" t="s">
        <v>74</v>
      </c>
      <c r="C16" s="597"/>
      <c r="D16" s="597"/>
      <c r="E16" s="597"/>
      <c r="F16" s="597"/>
      <c r="G16" s="34"/>
      <c r="H16" s="12"/>
      <c r="I16" s="394">
        <v>710639</v>
      </c>
      <c r="J16" s="395">
        <v>2382120</v>
      </c>
    </row>
    <row r="17" spans="1:9" ht="15.75">
      <c r="B17" s="599" t="s">
        <v>76</v>
      </c>
      <c r="C17" s="599"/>
      <c r="D17" s="599"/>
      <c r="E17" s="599"/>
      <c r="F17" s="599"/>
    </row>
    <row r="18" spans="1:9" ht="8.25" customHeight="1"/>
    <row r="19" spans="1:9" ht="16.5">
      <c r="A19" s="576" t="s">
        <v>185</v>
      </c>
      <c r="B19" s="576"/>
      <c r="C19" s="576"/>
      <c r="D19" s="576"/>
      <c r="E19" s="576"/>
      <c r="F19" s="576"/>
      <c r="G19" s="576"/>
      <c r="H19" s="576"/>
      <c r="I19" s="576"/>
    </row>
    <row r="20" spans="1:9" ht="6.75" customHeight="1">
      <c r="A20" s="21"/>
      <c r="B20" s="21"/>
      <c r="C20" s="81"/>
      <c r="D20" s="81"/>
      <c r="E20" s="81"/>
      <c r="F20" s="33"/>
      <c r="G20" s="21"/>
      <c r="H20" s="21"/>
      <c r="I20" s="21"/>
    </row>
    <row r="21" spans="1:9" ht="49.5" customHeight="1">
      <c r="A21" s="124" t="s">
        <v>161</v>
      </c>
      <c r="B21" s="124" t="s">
        <v>144</v>
      </c>
      <c r="C21" s="264" t="s">
        <v>145</v>
      </c>
      <c r="D21" s="264" t="s">
        <v>279</v>
      </c>
      <c r="E21" s="124" t="s">
        <v>232</v>
      </c>
      <c r="F21" s="124" t="s">
        <v>233</v>
      </c>
    </row>
    <row r="22" spans="1:9" ht="36" customHeight="1">
      <c r="A22" s="123"/>
      <c r="B22" s="130" t="s">
        <v>100</v>
      </c>
      <c r="C22" s="262">
        <v>0.53200000000000003</v>
      </c>
      <c r="D22" s="263">
        <v>1</v>
      </c>
      <c r="E22" s="203">
        <f>ROUND(($I$14*C22*D22),0)</f>
        <v>117417</v>
      </c>
      <c r="F22" s="203">
        <f>ROUND((C22*$J$14*D22),0)</f>
        <v>787872</v>
      </c>
    </row>
    <row r="23" spans="1:9" ht="15.75">
      <c r="A23" s="264">
        <v>1</v>
      </c>
      <c r="B23" s="280" t="s">
        <v>241</v>
      </c>
      <c r="C23" s="262">
        <v>1.2E-2</v>
      </c>
      <c r="D23" s="263">
        <v>1</v>
      </c>
      <c r="E23" s="203">
        <f t="shared" ref="E23:E34" si="0">ROUND(($I$14*C23*D23),0)</f>
        <v>2649</v>
      </c>
      <c r="F23" s="203">
        <f t="shared" ref="F23:F28" si="1">ROUND((C23*$J$14*D23),0)</f>
        <v>17772</v>
      </c>
    </row>
    <row r="24" spans="1:9" ht="15.75">
      <c r="A24" s="122" t="s">
        <v>129</v>
      </c>
      <c r="B24" s="429" t="s">
        <v>225</v>
      </c>
      <c r="C24" s="262">
        <v>1.2E-2</v>
      </c>
      <c r="D24" s="266">
        <v>1</v>
      </c>
      <c r="E24" s="203">
        <f t="shared" si="0"/>
        <v>2649</v>
      </c>
      <c r="F24" s="203">
        <f t="shared" si="1"/>
        <v>17772</v>
      </c>
    </row>
    <row r="25" spans="1:9" ht="15.75">
      <c r="A25" s="122" t="s">
        <v>130</v>
      </c>
      <c r="B25" s="429" t="s">
        <v>226</v>
      </c>
      <c r="C25" s="262">
        <v>1.2E-2</v>
      </c>
      <c r="D25" s="266">
        <v>0.5</v>
      </c>
      <c r="E25" s="203">
        <f t="shared" si="0"/>
        <v>1324</v>
      </c>
      <c r="F25" s="203">
        <f t="shared" si="1"/>
        <v>8886</v>
      </c>
    </row>
    <row r="26" spans="1:9" ht="15.75">
      <c r="A26" s="122" t="s">
        <v>131</v>
      </c>
      <c r="B26" s="429" t="s">
        <v>227</v>
      </c>
      <c r="C26" s="262">
        <v>1.2E-2</v>
      </c>
      <c r="D26" s="266">
        <v>0.6</v>
      </c>
      <c r="E26" s="203">
        <f t="shared" si="0"/>
        <v>1589</v>
      </c>
      <c r="F26" s="203">
        <f t="shared" si="1"/>
        <v>10663</v>
      </c>
    </row>
    <row r="27" spans="1:9" ht="15.75">
      <c r="A27" s="122" t="s">
        <v>132</v>
      </c>
      <c r="B27" s="429" t="s">
        <v>228</v>
      </c>
      <c r="C27" s="262">
        <v>1.2E-2</v>
      </c>
      <c r="D27" s="266">
        <v>0.7</v>
      </c>
      <c r="E27" s="203">
        <f t="shared" si="0"/>
        <v>1854</v>
      </c>
      <c r="F27" s="203">
        <f t="shared" si="1"/>
        <v>12440</v>
      </c>
    </row>
    <row r="28" spans="1:9" ht="15.75">
      <c r="A28" s="122" t="s">
        <v>230</v>
      </c>
      <c r="B28" s="429" t="s">
        <v>229</v>
      </c>
      <c r="C28" s="262">
        <v>1.2E-2</v>
      </c>
      <c r="D28" s="266">
        <v>0.5</v>
      </c>
      <c r="E28" s="203">
        <f t="shared" si="0"/>
        <v>1324</v>
      </c>
      <c r="F28" s="203">
        <f t="shared" si="1"/>
        <v>8886</v>
      </c>
    </row>
    <row r="29" spans="1:9" ht="31.5">
      <c r="A29" s="264">
        <v>2</v>
      </c>
      <c r="B29" s="281" t="s">
        <v>102</v>
      </c>
      <c r="C29" s="262">
        <v>0.22700000000000001</v>
      </c>
      <c r="D29" s="263">
        <v>1</v>
      </c>
      <c r="E29" s="203">
        <f t="shared" si="0"/>
        <v>50101</v>
      </c>
      <c r="F29" s="203">
        <v>609822</v>
      </c>
    </row>
    <row r="30" spans="1:9" ht="20.25" customHeight="1">
      <c r="A30" s="122" t="s">
        <v>32</v>
      </c>
      <c r="B30" s="261" t="s">
        <v>103</v>
      </c>
      <c r="C30" s="262">
        <v>2.5000000000000001E-2</v>
      </c>
      <c r="D30" s="263">
        <v>1</v>
      </c>
      <c r="E30" s="203">
        <f t="shared" si="0"/>
        <v>5518</v>
      </c>
      <c r="F30" s="203">
        <v>66699</v>
      </c>
    </row>
    <row r="31" spans="1:9" ht="20.25" customHeight="1">
      <c r="A31" s="122" t="s">
        <v>33</v>
      </c>
      <c r="B31" s="261" t="s">
        <v>104</v>
      </c>
      <c r="C31" s="262">
        <v>7.5999999999999998E-2</v>
      </c>
      <c r="D31" s="263">
        <v>1</v>
      </c>
      <c r="E31" s="203">
        <f t="shared" si="0"/>
        <v>16774</v>
      </c>
      <c r="F31" s="203">
        <v>204862</v>
      </c>
    </row>
    <row r="32" spans="1:9" ht="20.25" customHeight="1">
      <c r="A32" s="122" t="s">
        <v>34</v>
      </c>
      <c r="B32" s="261" t="s">
        <v>105</v>
      </c>
      <c r="C32" s="262">
        <v>9.6000000000000002E-2</v>
      </c>
      <c r="D32" s="263">
        <v>1</v>
      </c>
      <c r="E32" s="203">
        <f t="shared" si="0"/>
        <v>21188</v>
      </c>
      <c r="F32" s="203">
        <v>257269</v>
      </c>
    </row>
    <row r="33" spans="1:8" ht="19.5" customHeight="1">
      <c r="A33" s="122" t="s">
        <v>35</v>
      </c>
      <c r="B33" s="261" t="s">
        <v>106</v>
      </c>
      <c r="C33" s="262">
        <v>1.4999999999999999E-2</v>
      </c>
      <c r="D33" s="263">
        <v>1</v>
      </c>
      <c r="E33" s="203">
        <f t="shared" si="0"/>
        <v>3311</v>
      </c>
      <c r="F33" s="203">
        <v>40496</v>
      </c>
    </row>
    <row r="34" spans="1:8" ht="19.5" customHeight="1">
      <c r="A34" s="122" t="s">
        <v>36</v>
      </c>
      <c r="B34" s="261" t="s">
        <v>107</v>
      </c>
      <c r="C34" s="262">
        <v>1.4999999999999999E-2</v>
      </c>
      <c r="D34" s="263">
        <v>1</v>
      </c>
      <c r="E34" s="203">
        <f t="shared" si="0"/>
        <v>3311</v>
      </c>
      <c r="F34" s="203">
        <v>40496</v>
      </c>
    </row>
    <row r="35" spans="1:8" ht="19.5" customHeight="1">
      <c r="A35" s="264">
        <v>3</v>
      </c>
      <c r="B35" s="281" t="s">
        <v>108</v>
      </c>
      <c r="C35" s="262">
        <v>0.29299999999999998</v>
      </c>
      <c r="D35" s="263">
        <v>1</v>
      </c>
      <c r="E35" s="203">
        <v>234511</v>
      </c>
      <c r="F35" s="203">
        <v>786099</v>
      </c>
      <c r="G35" s="395">
        <f>I$16*0.33</f>
        <v>234510.87000000002</v>
      </c>
      <c r="H35" s="395">
        <f>J$16*0.33</f>
        <v>786099.60000000009</v>
      </c>
    </row>
    <row r="36" spans="1:8" ht="18.75" customHeight="1">
      <c r="A36" s="122" t="s">
        <v>40</v>
      </c>
      <c r="B36" s="261" t="s">
        <v>103</v>
      </c>
      <c r="C36" s="262">
        <v>0.04</v>
      </c>
      <c r="D36" s="263">
        <v>1</v>
      </c>
      <c r="E36" s="203">
        <v>31979</v>
      </c>
      <c r="F36" s="203">
        <f>ROUND((C36*$J$14*D36),0)</f>
        <v>59238</v>
      </c>
      <c r="G36" s="395">
        <f>I$16*0.045</f>
        <v>31978.754999999997</v>
      </c>
      <c r="H36" s="395">
        <f>J$16*0.045</f>
        <v>107195.4</v>
      </c>
    </row>
    <row r="37" spans="1:8" ht="18.75" customHeight="1">
      <c r="A37" s="122" t="s">
        <v>41</v>
      </c>
      <c r="B37" s="261" t="s">
        <v>104</v>
      </c>
      <c r="C37" s="262">
        <v>9.0999999999999998E-2</v>
      </c>
      <c r="D37" s="263">
        <v>1</v>
      </c>
      <c r="E37" s="203">
        <v>72485</v>
      </c>
      <c r="F37" s="203">
        <v>242976</v>
      </c>
      <c r="G37" s="395">
        <f>I$16*0.102</f>
        <v>72485.178</v>
      </c>
      <c r="H37" s="395">
        <f>J$16*0.102</f>
        <v>242976.24</v>
      </c>
    </row>
    <row r="38" spans="1:8" ht="18.75" customHeight="1">
      <c r="A38" s="122" t="s">
        <v>162</v>
      </c>
      <c r="B38" s="261" t="s">
        <v>105</v>
      </c>
      <c r="C38" s="262">
        <v>0.112</v>
      </c>
      <c r="D38" s="263">
        <v>1</v>
      </c>
      <c r="E38" s="203">
        <v>89540</v>
      </c>
      <c r="F38" s="203">
        <v>300147</v>
      </c>
      <c r="G38" s="395">
        <f>I$16*0.126</f>
        <v>89540.513999999996</v>
      </c>
      <c r="H38" s="395">
        <f>J$16*0.126</f>
        <v>300147.12</v>
      </c>
    </row>
    <row r="39" spans="1:8" ht="18.75" customHeight="1">
      <c r="A39" s="122" t="s">
        <v>163</v>
      </c>
      <c r="B39" s="261" t="s">
        <v>106</v>
      </c>
      <c r="C39" s="262">
        <v>2.5000000000000001E-2</v>
      </c>
      <c r="D39" s="263">
        <v>1</v>
      </c>
      <c r="E39" s="203">
        <v>20609</v>
      </c>
      <c r="F39" s="203">
        <v>69082</v>
      </c>
      <c r="G39" s="395">
        <f>I$16*0.029</f>
        <v>20608.531000000003</v>
      </c>
      <c r="H39" s="395">
        <f>J$16*0.029</f>
        <v>69081.48000000001</v>
      </c>
    </row>
    <row r="40" spans="1:8" ht="18.75" customHeight="1">
      <c r="A40" s="122" t="s">
        <v>164</v>
      </c>
      <c r="B40" s="261" t="s">
        <v>107</v>
      </c>
      <c r="C40" s="262">
        <v>2.5000000000000001E-2</v>
      </c>
      <c r="D40" s="263">
        <v>1</v>
      </c>
      <c r="E40" s="203">
        <v>19898</v>
      </c>
      <c r="F40" s="203">
        <v>66699</v>
      </c>
      <c r="G40" s="395">
        <f>I$16*0.028</f>
        <v>19897.892</v>
      </c>
      <c r="H40" s="395">
        <f>J$16*0.028</f>
        <v>66699.360000000001</v>
      </c>
    </row>
    <row r="41" spans="1:8" ht="15.75">
      <c r="A41" s="260"/>
      <c r="B41" s="260"/>
      <c r="C41" s="260"/>
      <c r="D41" s="186"/>
      <c r="E41" s="407">
        <f>E36+E37+E38+E39+E40</f>
        <v>234511</v>
      </c>
      <c r="F41" s="407">
        <f>F36+F37+F38+F39+F40</f>
        <v>738142</v>
      </c>
      <c r="G41" s="395"/>
      <c r="H41" s="395"/>
    </row>
    <row r="42" spans="1:8">
      <c r="G42" s="395"/>
      <c r="H42" s="395"/>
    </row>
  </sheetData>
  <mergeCells count="8">
    <mergeCell ref="A1:H1"/>
    <mergeCell ref="B3:D3"/>
    <mergeCell ref="B4:F4"/>
    <mergeCell ref="A14:H14"/>
    <mergeCell ref="B16:F16"/>
    <mergeCell ref="A19:I19"/>
    <mergeCell ref="A2:C2"/>
    <mergeCell ref="B17:F17"/>
  </mergeCells>
  <printOptions horizontalCentered="1"/>
  <pageMargins left="0.2" right="0.2" top="0.5" bottom="0.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9" workbookViewId="0">
      <selection activeCell="F18" sqref="F18"/>
    </sheetView>
  </sheetViews>
  <sheetFormatPr defaultRowHeight="15"/>
  <cols>
    <col min="1" max="1" width="7.85546875" customWidth="1"/>
    <col min="2" max="2" width="31.140625" customWidth="1"/>
    <col min="3" max="3" width="10.85546875" customWidth="1"/>
    <col min="4" max="4" width="13.42578125" customWidth="1"/>
    <col min="5" max="5" width="16.140625" customWidth="1"/>
    <col min="6" max="7" width="14.140625" customWidth="1"/>
    <col min="8" max="8" width="14.42578125" customWidth="1"/>
    <col min="9" max="9" width="15.7109375" customWidth="1"/>
    <col min="10" max="10" width="14.85546875" customWidth="1"/>
  </cols>
  <sheetData>
    <row r="1" spans="1:10" ht="24.75" customHeight="1">
      <c r="A1" s="575" t="s">
        <v>349</v>
      </c>
      <c r="B1" s="575"/>
      <c r="C1" s="575"/>
      <c r="D1" s="575"/>
      <c r="E1" s="575"/>
      <c r="F1" s="575"/>
      <c r="G1" s="575"/>
      <c r="H1" s="575"/>
      <c r="I1" s="13"/>
    </row>
    <row r="2" spans="1:10" ht="25.5" customHeight="1">
      <c r="A2" s="598" t="s">
        <v>260</v>
      </c>
      <c r="B2" s="598"/>
      <c r="C2" s="598"/>
      <c r="D2" s="16"/>
      <c r="E2" s="16"/>
      <c r="F2" s="16"/>
      <c r="G2" s="12"/>
      <c r="H2" s="12"/>
      <c r="I2" s="1" t="s">
        <v>207</v>
      </c>
    </row>
    <row r="3" spans="1:10" ht="18.75">
      <c r="A3" s="10" t="s">
        <v>33</v>
      </c>
      <c r="B3" s="596" t="s">
        <v>67</v>
      </c>
      <c r="C3" s="596"/>
      <c r="D3" s="596"/>
      <c r="E3" s="12"/>
      <c r="F3" s="12"/>
      <c r="G3" s="12"/>
      <c r="H3" s="12"/>
      <c r="I3" s="13"/>
    </row>
    <row r="4" spans="1:10" ht="18.75">
      <c r="A4" s="116" t="s">
        <v>123</v>
      </c>
      <c r="B4" s="574" t="s">
        <v>109</v>
      </c>
      <c r="C4" s="574"/>
      <c r="D4" s="574"/>
      <c r="E4" s="574"/>
      <c r="F4" s="574"/>
      <c r="G4" s="12"/>
      <c r="H4" s="12"/>
      <c r="I4" s="13"/>
    </row>
    <row r="5" spans="1:10" ht="18.75">
      <c r="A5" s="17"/>
      <c r="B5" s="14"/>
      <c r="C5" s="17"/>
      <c r="D5" s="23"/>
      <c r="E5" s="12"/>
      <c r="F5" s="12"/>
      <c r="G5" s="12"/>
      <c r="H5" s="12"/>
      <c r="I5" s="13"/>
    </row>
    <row r="6" spans="1:10" ht="45">
      <c r="A6" s="229" t="s">
        <v>2</v>
      </c>
      <c r="B6" s="229" t="s">
        <v>68</v>
      </c>
      <c r="C6" s="229" t="s">
        <v>48</v>
      </c>
      <c r="D6" s="229" t="s">
        <v>179</v>
      </c>
      <c r="E6" s="229" t="s">
        <v>180</v>
      </c>
      <c r="F6" s="230" t="s">
        <v>181</v>
      </c>
      <c r="G6" s="229" t="s">
        <v>278</v>
      </c>
      <c r="H6" s="230" t="s">
        <v>70</v>
      </c>
      <c r="I6" s="61" t="s">
        <v>71</v>
      </c>
      <c r="J6" s="245" t="s">
        <v>276</v>
      </c>
    </row>
    <row r="7" spans="1:10" ht="39" customHeight="1">
      <c r="A7" s="231" t="s">
        <v>7</v>
      </c>
      <c r="B7" s="231" t="s">
        <v>8</v>
      </c>
      <c r="C7" s="231" t="s">
        <v>9</v>
      </c>
      <c r="D7" s="231" t="s">
        <v>21</v>
      </c>
      <c r="E7" s="231" t="s">
        <v>52</v>
      </c>
      <c r="F7" s="231" t="s">
        <v>22</v>
      </c>
      <c r="G7" s="231" t="s">
        <v>23</v>
      </c>
      <c r="H7" s="232" t="s">
        <v>182</v>
      </c>
      <c r="I7" s="232" t="s">
        <v>183</v>
      </c>
      <c r="J7" s="244" t="s">
        <v>275</v>
      </c>
    </row>
    <row r="8" spans="1:10" ht="23.25" customHeight="1">
      <c r="A8" s="233">
        <v>1</v>
      </c>
      <c r="B8" s="234" t="s">
        <v>175</v>
      </c>
      <c r="C8" s="235" t="s">
        <v>55</v>
      </c>
      <c r="D8" s="235">
        <v>2.2000000000000002</v>
      </c>
      <c r="E8" s="235">
        <v>10</v>
      </c>
      <c r="F8" s="235">
        <v>182.81</v>
      </c>
      <c r="G8" s="68">
        <v>8990000</v>
      </c>
      <c r="H8" s="68">
        <f>ROUND(G8/(500*E8),0)</f>
        <v>1798</v>
      </c>
      <c r="I8" s="318">
        <f>ROUND(F8*H8,0)</f>
        <v>328692</v>
      </c>
      <c r="J8" s="250"/>
    </row>
    <row r="9" spans="1:10" ht="24.95" customHeight="1">
      <c r="A9" s="233">
        <v>2</v>
      </c>
      <c r="B9" s="236" t="s">
        <v>72</v>
      </c>
      <c r="C9" s="235" t="s">
        <v>55</v>
      </c>
      <c r="D9" s="235">
        <v>0.4</v>
      </c>
      <c r="E9" s="235">
        <v>10</v>
      </c>
      <c r="F9" s="235">
        <v>818.55</v>
      </c>
      <c r="G9" s="68">
        <v>9590000</v>
      </c>
      <c r="H9" s="68">
        <f>ROUND(G9/(500*E9),0)</f>
        <v>1918</v>
      </c>
      <c r="I9" s="318">
        <f>ROUND(F9*H9,0)</f>
        <v>1569979</v>
      </c>
      <c r="J9" s="251"/>
    </row>
    <row r="10" spans="1:10" ht="24.95" customHeight="1">
      <c r="A10" s="233">
        <v>3</v>
      </c>
      <c r="B10" s="236" t="s">
        <v>176</v>
      </c>
      <c r="C10" s="235" t="s">
        <v>55</v>
      </c>
      <c r="D10" s="235">
        <v>1.5</v>
      </c>
      <c r="E10" s="235">
        <v>10</v>
      </c>
      <c r="F10" s="235">
        <v>90</v>
      </c>
      <c r="G10" s="68">
        <v>69000000</v>
      </c>
      <c r="H10" s="68">
        <f>ROUND(G10/(500*E10),0)</f>
        <v>13800</v>
      </c>
      <c r="I10" s="318">
        <f>ROUND(F10*H10,0)</f>
        <v>1242000</v>
      </c>
      <c r="J10" s="251"/>
    </row>
    <row r="11" spans="1:10" ht="24.95" customHeight="1">
      <c r="A11" s="233">
        <v>4</v>
      </c>
      <c r="B11" s="237" t="s">
        <v>177</v>
      </c>
      <c r="C11" s="238" t="s">
        <v>55</v>
      </c>
      <c r="D11" s="235">
        <v>0.4</v>
      </c>
      <c r="E11" s="235">
        <v>10</v>
      </c>
      <c r="F11" s="235">
        <v>123</v>
      </c>
      <c r="G11" s="68">
        <v>4800000</v>
      </c>
      <c r="H11" s="68">
        <f>ROUND(G11/(500*E11),0)</f>
        <v>960</v>
      </c>
      <c r="I11" s="318">
        <f>ROUND(F11*H11,0)</f>
        <v>118080</v>
      </c>
      <c r="J11" s="251"/>
    </row>
    <row r="12" spans="1:10" ht="24.95" customHeight="1">
      <c r="A12" s="233">
        <v>5</v>
      </c>
      <c r="B12" s="236" t="s">
        <v>178</v>
      </c>
      <c r="C12" s="235" t="s">
        <v>55</v>
      </c>
      <c r="D12" s="235">
        <v>0.4</v>
      </c>
      <c r="E12" s="235">
        <v>10</v>
      </c>
      <c r="F12" s="235">
        <v>15</v>
      </c>
      <c r="G12" s="68">
        <v>400000</v>
      </c>
      <c r="H12" s="68">
        <f>ROUND(G12/(500*E12),0)</f>
        <v>80</v>
      </c>
      <c r="I12" s="318">
        <f>ROUND(F12*H12,0)</f>
        <v>1200</v>
      </c>
      <c r="J12" s="251"/>
    </row>
    <row r="13" spans="1:10" ht="24.95" customHeight="1">
      <c r="A13" s="233">
        <v>6</v>
      </c>
      <c r="B13" s="239" t="s">
        <v>57</v>
      </c>
      <c r="C13" s="240" t="s">
        <v>73</v>
      </c>
      <c r="D13" s="242"/>
      <c r="E13" s="242"/>
      <c r="F13" s="240">
        <v>7726.34</v>
      </c>
      <c r="G13" s="305">
        <v>1864.44</v>
      </c>
      <c r="H13" s="242"/>
      <c r="I13" s="319"/>
      <c r="J13" s="241">
        <f>ROUND(F13*G13,0)</f>
        <v>14405297</v>
      </c>
    </row>
    <row r="14" spans="1:10" ht="21.75" customHeight="1">
      <c r="A14" s="600" t="s">
        <v>65</v>
      </c>
      <c r="B14" s="601"/>
      <c r="C14" s="601"/>
      <c r="D14" s="601"/>
      <c r="E14" s="601"/>
      <c r="F14" s="601"/>
      <c r="G14" s="601"/>
      <c r="H14" s="602"/>
      <c r="I14" s="243">
        <f>SUM(I8:I13)</f>
        <v>3259951</v>
      </c>
      <c r="J14" s="243">
        <f>SUM(J8:J13)</f>
        <v>14405297</v>
      </c>
    </row>
    <row r="15" spans="1:10" ht="17.25" customHeight="1">
      <c r="A15" s="252"/>
      <c r="B15" s="253"/>
      <c r="C15" s="253"/>
      <c r="D15" s="253"/>
      <c r="E15" s="253"/>
      <c r="F15" s="253"/>
      <c r="G15" s="252"/>
      <c r="H15" s="252"/>
      <c r="I15" s="396"/>
      <c r="J15" s="396"/>
    </row>
    <row r="16" spans="1:10" ht="18.75" customHeight="1">
      <c r="A16" s="163"/>
      <c r="B16" s="594" t="s">
        <v>74</v>
      </c>
      <c r="C16" s="594"/>
      <c r="D16" s="594"/>
      <c r="E16" s="594"/>
      <c r="F16" s="594"/>
      <c r="G16" s="247"/>
      <c r="H16" s="248"/>
      <c r="I16" s="33"/>
      <c r="J16" s="246"/>
    </row>
    <row r="17" spans="1:10" ht="19.5" customHeight="1">
      <c r="A17" s="246"/>
      <c r="B17" s="595" t="s">
        <v>76</v>
      </c>
      <c r="C17" s="595"/>
      <c r="D17" s="595"/>
      <c r="E17" s="595"/>
      <c r="F17" s="314"/>
      <c r="G17" s="246"/>
      <c r="H17" s="246"/>
      <c r="I17" s="246"/>
      <c r="J17" s="246"/>
    </row>
    <row r="18" spans="1:10">
      <c r="A18" s="246"/>
      <c r="B18" s="246"/>
      <c r="C18" s="249"/>
      <c r="D18" s="246"/>
      <c r="E18" s="246"/>
      <c r="F18" s="246"/>
      <c r="G18" s="246"/>
      <c r="H18" s="246"/>
      <c r="I18" s="246"/>
      <c r="J18" s="246"/>
    </row>
    <row r="19" spans="1:10" ht="27.75" customHeight="1">
      <c r="A19" s="576" t="s">
        <v>185</v>
      </c>
      <c r="B19" s="576"/>
      <c r="C19" s="576"/>
      <c r="D19" s="576"/>
      <c r="E19" s="576"/>
      <c r="F19" s="576"/>
      <c r="G19" s="576"/>
      <c r="H19" s="576"/>
      <c r="I19" s="576"/>
    </row>
    <row r="20" spans="1:10" ht="47.25">
      <c r="A20" s="124" t="s">
        <v>161</v>
      </c>
      <c r="B20" s="134" t="s">
        <v>144</v>
      </c>
      <c r="C20" s="127" t="s">
        <v>145</v>
      </c>
      <c r="D20" s="265" t="s">
        <v>279</v>
      </c>
      <c r="E20" s="206" t="s">
        <v>232</v>
      </c>
      <c r="F20" s="206" t="s">
        <v>233</v>
      </c>
    </row>
    <row r="21" spans="1:10" ht="15.75">
      <c r="A21" s="270" t="s">
        <v>109</v>
      </c>
      <c r="B21" s="261"/>
      <c r="C21" s="256">
        <v>0.56100000000000005</v>
      </c>
      <c r="D21" s="266">
        <v>1</v>
      </c>
      <c r="E21" s="207">
        <f>ROUND(($I$14*C21*D21),0)</f>
        <v>1828833</v>
      </c>
      <c r="F21" s="203">
        <f>ROUND(($J$14*C21*D21),0)</f>
        <v>8081372</v>
      </c>
    </row>
    <row r="22" spans="1:10" ht="31.5">
      <c r="A22" s="135">
        <v>1</v>
      </c>
      <c r="B22" s="415" t="s">
        <v>110</v>
      </c>
      <c r="C22" s="256">
        <v>0.50600000000000001</v>
      </c>
      <c r="D22" s="266">
        <v>1</v>
      </c>
      <c r="E22" s="207">
        <f t="shared" ref="E22:E50" si="0">ROUND(($I$14*C22*D22),0)</f>
        <v>1649535</v>
      </c>
      <c r="F22" s="203">
        <f t="shared" ref="F22:F50" si="1">ROUND(($J$14*C22*D22),0)</f>
        <v>7289080</v>
      </c>
    </row>
    <row r="23" spans="1:10" ht="47.25">
      <c r="A23" s="135" t="s">
        <v>30</v>
      </c>
      <c r="B23" s="415" t="s">
        <v>307</v>
      </c>
      <c r="C23" s="256">
        <v>5.5E-2</v>
      </c>
      <c r="D23" s="266">
        <v>1</v>
      </c>
      <c r="E23" s="207">
        <f t="shared" si="0"/>
        <v>179297</v>
      </c>
      <c r="F23" s="203">
        <f t="shared" si="1"/>
        <v>792291</v>
      </c>
    </row>
    <row r="24" spans="1:10" ht="15.75">
      <c r="A24" s="135" t="s">
        <v>165</v>
      </c>
      <c r="B24" s="415" t="s">
        <v>308</v>
      </c>
      <c r="C24" s="256">
        <v>4.0000000000000001E-3</v>
      </c>
      <c r="D24" s="266">
        <v>1</v>
      </c>
      <c r="E24" s="207">
        <f t="shared" si="0"/>
        <v>13040</v>
      </c>
      <c r="F24" s="203">
        <f t="shared" si="1"/>
        <v>57621</v>
      </c>
    </row>
    <row r="25" spans="1:10" ht="15.75">
      <c r="A25" s="135" t="s">
        <v>166</v>
      </c>
      <c r="B25" s="415" t="s">
        <v>309</v>
      </c>
      <c r="C25" s="256">
        <v>5.0999999999999997E-2</v>
      </c>
      <c r="D25" s="266">
        <v>1</v>
      </c>
      <c r="E25" s="207">
        <f t="shared" si="0"/>
        <v>166258</v>
      </c>
      <c r="F25" s="203">
        <f t="shared" si="1"/>
        <v>734670</v>
      </c>
    </row>
    <row r="26" spans="1:10" ht="15.75">
      <c r="A26" s="135" t="s">
        <v>31</v>
      </c>
      <c r="B26" s="415" t="s">
        <v>311</v>
      </c>
      <c r="C26" s="256">
        <v>0.11600000000000001</v>
      </c>
      <c r="D26" s="266">
        <v>1</v>
      </c>
      <c r="E26" s="207">
        <f t="shared" si="0"/>
        <v>378154</v>
      </c>
      <c r="F26" s="203">
        <f t="shared" si="1"/>
        <v>1671014</v>
      </c>
      <c r="G26" s="395">
        <f>7433448*0.037</f>
        <v>275037.576</v>
      </c>
      <c r="H26" s="395"/>
    </row>
    <row r="27" spans="1:10" ht="15.75">
      <c r="A27" s="135" t="s">
        <v>167</v>
      </c>
      <c r="B27" s="415" t="s">
        <v>312</v>
      </c>
      <c r="C27" s="272">
        <v>1.6E-2</v>
      </c>
      <c r="D27" s="266">
        <v>1</v>
      </c>
      <c r="E27" s="207">
        <f t="shared" si="0"/>
        <v>52159</v>
      </c>
      <c r="F27" s="203">
        <f t="shared" si="1"/>
        <v>230485</v>
      </c>
      <c r="G27" s="395">
        <f>7433448*0.006</f>
        <v>44600.688000000002</v>
      </c>
      <c r="H27" s="395"/>
    </row>
    <row r="28" spans="1:10" ht="31.5">
      <c r="A28" s="135" t="s">
        <v>168</v>
      </c>
      <c r="B28" s="415" t="s">
        <v>313</v>
      </c>
      <c r="C28" s="256">
        <v>1.7000000000000001E-2</v>
      </c>
      <c r="D28" s="266">
        <v>1</v>
      </c>
      <c r="E28" s="207">
        <f t="shared" si="0"/>
        <v>55419</v>
      </c>
      <c r="F28" s="203">
        <f t="shared" si="1"/>
        <v>244890</v>
      </c>
      <c r="G28" s="395">
        <f>7433448*0.006</f>
        <v>44600.688000000002</v>
      </c>
      <c r="H28" s="395"/>
    </row>
    <row r="29" spans="1:10" ht="31.5">
      <c r="A29" s="135" t="s">
        <v>169</v>
      </c>
      <c r="B29" s="415" t="s">
        <v>314</v>
      </c>
      <c r="C29" s="256">
        <v>4.2000000000000003E-2</v>
      </c>
      <c r="D29" s="266">
        <v>1</v>
      </c>
      <c r="E29" s="207">
        <f t="shared" si="0"/>
        <v>136918</v>
      </c>
      <c r="F29" s="203">
        <f t="shared" si="1"/>
        <v>605022</v>
      </c>
      <c r="G29" s="395">
        <f>7433448*0.006</f>
        <v>44600.688000000002</v>
      </c>
      <c r="H29" s="395"/>
    </row>
    <row r="30" spans="1:10" ht="31.5">
      <c r="A30" s="135" t="s">
        <v>170</v>
      </c>
      <c r="B30" s="415" t="s">
        <v>315</v>
      </c>
      <c r="C30" s="256">
        <v>3.9E-2</v>
      </c>
      <c r="D30" s="266">
        <v>1</v>
      </c>
      <c r="E30" s="207">
        <f t="shared" si="0"/>
        <v>127138</v>
      </c>
      <c r="F30" s="203">
        <f t="shared" si="1"/>
        <v>561807</v>
      </c>
      <c r="G30" s="395">
        <f>7433448*0.006</f>
        <v>44600.688000000002</v>
      </c>
      <c r="H30" s="395"/>
    </row>
    <row r="31" spans="1:10" ht="31.5">
      <c r="A31" s="135" t="s">
        <v>153</v>
      </c>
      <c r="B31" s="415" t="s">
        <v>321</v>
      </c>
      <c r="C31" s="256">
        <v>0.23699999999999999</v>
      </c>
      <c r="D31" s="266">
        <v>1</v>
      </c>
      <c r="E31" s="207">
        <f t="shared" si="0"/>
        <v>772608</v>
      </c>
      <c r="F31" s="203">
        <f t="shared" si="1"/>
        <v>3414055</v>
      </c>
      <c r="G31" s="395">
        <f>7433448*0.004</f>
        <v>29733.792000000001</v>
      </c>
      <c r="H31" s="395">
        <f>19084613*0.004</f>
        <v>76338.452000000005</v>
      </c>
    </row>
    <row r="32" spans="1:10" ht="31.5">
      <c r="A32" s="135" t="s">
        <v>171</v>
      </c>
      <c r="B32" s="415" t="s">
        <v>322</v>
      </c>
      <c r="C32" s="256">
        <v>8.5999999999999993E-2</v>
      </c>
      <c r="D32" s="266">
        <v>1</v>
      </c>
      <c r="E32" s="207">
        <f t="shared" si="0"/>
        <v>280356</v>
      </c>
      <c r="F32" s="203">
        <f t="shared" si="1"/>
        <v>1238856</v>
      </c>
      <c r="G32" s="395">
        <f>7433448*0.006</f>
        <v>44600.688000000002</v>
      </c>
      <c r="H32" s="395">
        <f>19084613*0.004</f>
        <v>76338.452000000005</v>
      </c>
    </row>
    <row r="33" spans="1:8" ht="31.5">
      <c r="A33" s="135" t="s">
        <v>172</v>
      </c>
      <c r="B33" s="415" t="s">
        <v>323</v>
      </c>
      <c r="C33" s="273">
        <v>6.6000000000000003E-2</v>
      </c>
      <c r="D33" s="266">
        <v>1</v>
      </c>
      <c r="E33" s="207">
        <f t="shared" si="0"/>
        <v>215157</v>
      </c>
      <c r="F33" s="203">
        <f t="shared" si="1"/>
        <v>950750</v>
      </c>
      <c r="G33" s="395">
        <f>7433448*0.003</f>
        <v>22300.344000000001</v>
      </c>
      <c r="H33" s="395">
        <f>19084613*0.003</f>
        <v>57253.839</v>
      </c>
    </row>
    <row r="34" spans="1:8" ht="31.5">
      <c r="A34" s="135" t="s">
        <v>173</v>
      </c>
      <c r="B34" s="415" t="s">
        <v>324</v>
      </c>
      <c r="C34" s="273">
        <v>8.5000000000000006E-2</v>
      </c>
      <c r="D34" s="266">
        <v>1</v>
      </c>
      <c r="E34" s="207">
        <f t="shared" si="0"/>
        <v>277096</v>
      </c>
      <c r="F34" s="203">
        <f t="shared" si="1"/>
        <v>1224450</v>
      </c>
      <c r="G34" s="395">
        <f>19084613*0.02</f>
        <v>381692.26</v>
      </c>
      <c r="H34" s="395">
        <f>7433448*0.02</f>
        <v>148668.96</v>
      </c>
    </row>
    <row r="35" spans="1:8" ht="15.75">
      <c r="A35" s="135" t="s">
        <v>152</v>
      </c>
      <c r="B35" s="415" t="s">
        <v>317</v>
      </c>
      <c r="C35" s="273">
        <v>2.5999999999999999E-2</v>
      </c>
      <c r="D35" s="266">
        <v>1</v>
      </c>
      <c r="E35" s="207">
        <f t="shared" si="0"/>
        <v>84759</v>
      </c>
      <c r="F35" s="203">
        <f t="shared" si="1"/>
        <v>374538</v>
      </c>
      <c r="G35" s="395">
        <f>19084613*0.006</f>
        <v>114507.678</v>
      </c>
      <c r="H35" s="395">
        <f>7433448*0.006</f>
        <v>44600.688000000002</v>
      </c>
    </row>
    <row r="36" spans="1:8" ht="47.25">
      <c r="A36" s="135" t="s">
        <v>340</v>
      </c>
      <c r="B36" s="415" t="s">
        <v>318</v>
      </c>
      <c r="C36" s="273">
        <v>1.6E-2</v>
      </c>
      <c r="D36" s="266">
        <v>1</v>
      </c>
      <c r="E36" s="207">
        <f t="shared" si="0"/>
        <v>52159</v>
      </c>
      <c r="F36" s="203">
        <f t="shared" si="1"/>
        <v>230485</v>
      </c>
      <c r="G36" s="395">
        <f>19084613*0.006</f>
        <v>114507.678</v>
      </c>
      <c r="H36" s="395">
        <f>7433448*0.006</f>
        <v>44600.688000000002</v>
      </c>
    </row>
    <row r="37" spans="1:8" ht="15.75">
      <c r="A37" s="135" t="s">
        <v>341</v>
      </c>
      <c r="B37" s="415" t="s">
        <v>309</v>
      </c>
      <c r="C37" s="273">
        <v>5.0000000000000001E-3</v>
      </c>
      <c r="D37" s="266">
        <v>1</v>
      </c>
      <c r="E37" s="207">
        <f t="shared" si="0"/>
        <v>16300</v>
      </c>
      <c r="F37" s="203">
        <f t="shared" si="1"/>
        <v>72026</v>
      </c>
      <c r="G37" s="395">
        <f>19084613*0.008</f>
        <v>152676.90400000001</v>
      </c>
      <c r="H37" s="395">
        <f>7433448*0.008</f>
        <v>59467.584000000003</v>
      </c>
    </row>
    <row r="38" spans="1:8" ht="15.75">
      <c r="A38" s="135" t="s">
        <v>342</v>
      </c>
      <c r="B38" s="415" t="s">
        <v>319</v>
      </c>
      <c r="C38" s="273">
        <v>5.0000000000000001E-3</v>
      </c>
      <c r="D38" s="266">
        <v>1</v>
      </c>
      <c r="E38" s="207">
        <f t="shared" si="0"/>
        <v>16300</v>
      </c>
      <c r="F38" s="203">
        <f t="shared" si="1"/>
        <v>72026</v>
      </c>
    </row>
    <row r="39" spans="1:8" ht="15.75">
      <c r="A39" s="135" t="s">
        <v>155</v>
      </c>
      <c r="B39" s="415" t="s">
        <v>326</v>
      </c>
      <c r="C39" s="273">
        <v>5.1999999999999998E-2</v>
      </c>
      <c r="D39" s="266">
        <v>1</v>
      </c>
      <c r="E39" s="207">
        <f t="shared" si="0"/>
        <v>169517</v>
      </c>
      <c r="F39" s="203">
        <f t="shared" si="1"/>
        <v>749075</v>
      </c>
    </row>
    <row r="40" spans="1:8" ht="15.75">
      <c r="A40" s="135" t="s">
        <v>343</v>
      </c>
      <c r="B40" s="415" t="s">
        <v>327</v>
      </c>
      <c r="C40" s="273">
        <v>0.04</v>
      </c>
      <c r="D40" s="266">
        <v>1</v>
      </c>
      <c r="E40" s="207">
        <f t="shared" si="0"/>
        <v>130398</v>
      </c>
      <c r="F40" s="203">
        <f t="shared" si="1"/>
        <v>576212</v>
      </c>
    </row>
    <row r="41" spans="1:8" ht="15.75">
      <c r="A41" s="135" t="s">
        <v>344</v>
      </c>
      <c r="B41" s="415" t="s">
        <v>328</v>
      </c>
      <c r="C41" s="273">
        <v>1.2E-2</v>
      </c>
      <c r="D41" s="266">
        <v>1</v>
      </c>
      <c r="E41" s="207">
        <f t="shared" si="0"/>
        <v>39119</v>
      </c>
      <c r="F41" s="203">
        <f t="shared" si="1"/>
        <v>172864</v>
      </c>
    </row>
    <row r="42" spans="1:8" ht="47.25">
      <c r="A42" s="135" t="s">
        <v>174</v>
      </c>
      <c r="B42" s="415" t="s">
        <v>345</v>
      </c>
      <c r="C42" s="256">
        <v>2.1000000000000001E-2</v>
      </c>
      <c r="D42" s="266">
        <v>1</v>
      </c>
      <c r="E42" s="207">
        <f t="shared" si="0"/>
        <v>68459</v>
      </c>
      <c r="F42" s="203">
        <f t="shared" si="1"/>
        <v>302511</v>
      </c>
    </row>
    <row r="43" spans="1:8" ht="15.75">
      <c r="A43" s="135" t="s">
        <v>346</v>
      </c>
      <c r="B43" s="415" t="s">
        <v>111</v>
      </c>
      <c r="C43" s="256">
        <v>8.9999999999999993E-3</v>
      </c>
      <c r="D43" s="266">
        <v>1</v>
      </c>
      <c r="E43" s="207">
        <f t="shared" si="0"/>
        <v>29340</v>
      </c>
      <c r="F43" s="203">
        <f t="shared" si="1"/>
        <v>129648</v>
      </c>
    </row>
    <row r="44" spans="1:8" ht="31.5">
      <c r="A44" s="135" t="s">
        <v>347</v>
      </c>
      <c r="B44" s="415" t="s">
        <v>331</v>
      </c>
      <c r="C44" s="256">
        <v>1.2E-2</v>
      </c>
      <c r="D44" s="266">
        <v>1</v>
      </c>
      <c r="E44" s="207">
        <f t="shared" si="0"/>
        <v>39119</v>
      </c>
      <c r="F44" s="203">
        <f t="shared" si="1"/>
        <v>172864</v>
      </c>
    </row>
    <row r="45" spans="1:8" ht="31.5">
      <c r="A45" s="135">
        <v>2</v>
      </c>
      <c r="B45" s="415" t="s">
        <v>112</v>
      </c>
      <c r="C45" s="256">
        <v>5.5E-2</v>
      </c>
      <c r="D45" s="266">
        <v>1</v>
      </c>
      <c r="E45" s="207">
        <f t="shared" si="0"/>
        <v>179297</v>
      </c>
      <c r="F45" s="203">
        <f t="shared" si="1"/>
        <v>792291</v>
      </c>
    </row>
    <row r="46" spans="1:8" ht="15.75">
      <c r="A46" s="202" t="s">
        <v>129</v>
      </c>
      <c r="B46" s="201" t="s">
        <v>236</v>
      </c>
      <c r="C46" s="256">
        <v>5.5E-2</v>
      </c>
      <c r="D46" s="266">
        <v>1</v>
      </c>
      <c r="E46" s="207">
        <f t="shared" si="0"/>
        <v>179297</v>
      </c>
      <c r="F46" s="203">
        <f t="shared" si="1"/>
        <v>792291</v>
      </c>
    </row>
    <row r="47" spans="1:8" ht="15.75">
      <c r="A47" s="202" t="s">
        <v>130</v>
      </c>
      <c r="B47" s="201" t="s">
        <v>237</v>
      </c>
      <c r="C47" s="256">
        <v>5.5E-2</v>
      </c>
      <c r="D47" s="266">
        <v>0.8</v>
      </c>
      <c r="E47" s="207">
        <f t="shared" si="0"/>
        <v>143438</v>
      </c>
      <c r="F47" s="203">
        <f t="shared" si="1"/>
        <v>633833</v>
      </c>
    </row>
    <row r="48" spans="1:8" ht="15.75">
      <c r="A48" s="202" t="s">
        <v>131</v>
      </c>
      <c r="B48" s="201" t="s">
        <v>238</v>
      </c>
      <c r="C48" s="256">
        <v>5.5E-2</v>
      </c>
      <c r="D48" s="266">
        <v>0.6</v>
      </c>
      <c r="E48" s="207">
        <f t="shared" si="0"/>
        <v>107578</v>
      </c>
      <c r="F48" s="203">
        <f t="shared" si="1"/>
        <v>475375</v>
      </c>
    </row>
    <row r="49" spans="1:6" ht="15.75">
      <c r="A49" s="202" t="s">
        <v>132</v>
      </c>
      <c r="B49" s="201" t="s">
        <v>239</v>
      </c>
      <c r="C49" s="256">
        <v>5.5E-2</v>
      </c>
      <c r="D49" s="266">
        <v>0.4</v>
      </c>
      <c r="E49" s="207">
        <f t="shared" si="0"/>
        <v>71719</v>
      </c>
      <c r="F49" s="203">
        <f t="shared" si="1"/>
        <v>316917</v>
      </c>
    </row>
    <row r="50" spans="1:6" ht="15.75">
      <c r="A50" s="202" t="s">
        <v>230</v>
      </c>
      <c r="B50" s="201" t="s">
        <v>240</v>
      </c>
      <c r="C50" s="256">
        <v>5.5E-2</v>
      </c>
      <c r="D50" s="266">
        <v>0.4</v>
      </c>
      <c r="E50" s="207">
        <f t="shared" si="0"/>
        <v>71719</v>
      </c>
      <c r="F50" s="203">
        <f t="shared" si="1"/>
        <v>316917</v>
      </c>
    </row>
  </sheetData>
  <mergeCells count="8">
    <mergeCell ref="A1:H1"/>
    <mergeCell ref="B3:D3"/>
    <mergeCell ref="B4:F4"/>
    <mergeCell ref="A14:H14"/>
    <mergeCell ref="B16:F16"/>
    <mergeCell ref="A19:I19"/>
    <mergeCell ref="A2:C2"/>
    <mergeCell ref="B17:E17"/>
  </mergeCells>
  <printOptions horizontalCentered="1"/>
  <pageMargins left="0" right="0" top="0.5" bottom="0.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3" workbookViewId="0">
      <selection activeCell="G17" sqref="G17"/>
    </sheetView>
  </sheetViews>
  <sheetFormatPr defaultRowHeight="15"/>
  <cols>
    <col min="1" max="1" width="7.5703125" customWidth="1"/>
    <col min="2" max="2" width="26.85546875" customWidth="1"/>
    <col min="3" max="3" width="10" customWidth="1"/>
    <col min="4" max="4" width="11.42578125" customWidth="1"/>
    <col min="5" max="5" width="11.7109375" customWidth="1"/>
    <col min="6" max="6" width="13.85546875" customWidth="1"/>
    <col min="7" max="7" width="16" customWidth="1"/>
    <col min="8" max="8" width="15" customWidth="1"/>
    <col min="9" max="9" width="16.28515625" customWidth="1"/>
    <col min="10" max="10" width="13.7109375" customWidth="1"/>
  </cols>
  <sheetData>
    <row r="1" spans="1:10" ht="19.5" customHeight="1">
      <c r="A1" s="575" t="s">
        <v>349</v>
      </c>
      <c r="B1" s="575"/>
      <c r="C1" s="575"/>
      <c r="D1" s="575"/>
      <c r="E1" s="575"/>
      <c r="F1" s="575"/>
      <c r="G1" s="575"/>
      <c r="H1" s="575"/>
      <c r="I1" s="13"/>
    </row>
    <row r="2" spans="1:10" ht="18.75" customHeight="1">
      <c r="A2" s="598" t="s">
        <v>44</v>
      </c>
      <c r="B2" s="598"/>
      <c r="C2" s="598"/>
      <c r="D2" s="16"/>
      <c r="E2" s="16"/>
      <c r="F2" s="16"/>
      <c r="G2" s="12"/>
      <c r="H2" s="12"/>
      <c r="I2" s="1" t="s">
        <v>208</v>
      </c>
    </row>
    <row r="3" spans="1:10" ht="18.75">
      <c r="A3" s="10" t="s">
        <v>33</v>
      </c>
      <c r="B3" s="596" t="s">
        <v>67</v>
      </c>
      <c r="C3" s="596"/>
      <c r="D3" s="596"/>
      <c r="E3" s="12"/>
      <c r="F3" s="12"/>
      <c r="G3" s="12"/>
      <c r="H3" s="12"/>
      <c r="I3" s="13"/>
    </row>
    <row r="4" spans="1:10" ht="18.75">
      <c r="A4" s="116" t="s">
        <v>124</v>
      </c>
      <c r="B4" s="574" t="s">
        <v>113</v>
      </c>
      <c r="C4" s="574"/>
      <c r="D4" s="574"/>
      <c r="E4" s="574"/>
      <c r="F4" s="574"/>
      <c r="G4" s="12"/>
      <c r="H4" s="12"/>
      <c r="I4" s="13"/>
    </row>
    <row r="5" spans="1:10" ht="3.75" customHeight="1">
      <c r="A5" s="17"/>
      <c r="B5" s="14"/>
      <c r="C5" s="17"/>
      <c r="D5" s="23"/>
      <c r="E5" s="12"/>
      <c r="F5" s="12"/>
      <c r="G5" s="12"/>
      <c r="H5" s="12"/>
      <c r="I5" s="13"/>
    </row>
    <row r="6" spans="1:10" s="260" customFormat="1" ht="47.25">
      <c r="A6" s="282" t="s">
        <v>2</v>
      </c>
      <c r="B6" s="282" t="s">
        <v>68</v>
      </c>
      <c r="C6" s="282" t="s">
        <v>48</v>
      </c>
      <c r="D6" s="282" t="s">
        <v>179</v>
      </c>
      <c r="E6" s="282" t="s">
        <v>180</v>
      </c>
      <c r="F6" s="283" t="s">
        <v>181</v>
      </c>
      <c r="G6" s="282" t="s">
        <v>278</v>
      </c>
      <c r="H6" s="283" t="s">
        <v>70</v>
      </c>
      <c r="I6" s="284" t="s">
        <v>71</v>
      </c>
      <c r="J6" s="285" t="s">
        <v>276</v>
      </c>
    </row>
    <row r="7" spans="1:10" s="260" customFormat="1" ht="32.25" customHeight="1">
      <c r="A7" s="286" t="s">
        <v>7</v>
      </c>
      <c r="B7" s="286" t="s">
        <v>8</v>
      </c>
      <c r="C7" s="286" t="s">
        <v>9</v>
      </c>
      <c r="D7" s="286" t="s">
        <v>21</v>
      </c>
      <c r="E7" s="286" t="s">
        <v>52</v>
      </c>
      <c r="F7" s="286" t="s">
        <v>22</v>
      </c>
      <c r="G7" s="286" t="s">
        <v>23</v>
      </c>
      <c r="H7" s="287" t="s">
        <v>182</v>
      </c>
      <c r="I7" s="287" t="s">
        <v>183</v>
      </c>
      <c r="J7" s="288" t="s">
        <v>275</v>
      </c>
    </row>
    <row r="8" spans="1:10" s="260" customFormat="1" ht="26.25" customHeight="1">
      <c r="A8" s="177">
        <v>1</v>
      </c>
      <c r="B8" s="289" t="s">
        <v>175</v>
      </c>
      <c r="C8" s="290" t="s">
        <v>55</v>
      </c>
      <c r="D8" s="290">
        <v>2.2000000000000002</v>
      </c>
      <c r="E8" s="290">
        <v>10</v>
      </c>
      <c r="F8" s="290">
        <v>0.46</v>
      </c>
      <c r="G8" s="291">
        <v>8990000</v>
      </c>
      <c r="H8" s="291">
        <f t="shared" ref="H8:H13" si="0">ROUND(G8/(500*E8),0)</f>
        <v>1798</v>
      </c>
      <c r="I8" s="291">
        <f t="shared" ref="I8:I13" si="1">ROUND(F8*H8,0)</f>
        <v>827</v>
      </c>
      <c r="J8" s="292"/>
    </row>
    <row r="9" spans="1:10" s="260" customFormat="1" ht="24.95" customHeight="1">
      <c r="A9" s="177">
        <v>2</v>
      </c>
      <c r="B9" s="293" t="s">
        <v>72</v>
      </c>
      <c r="C9" s="290" t="s">
        <v>55</v>
      </c>
      <c r="D9" s="290">
        <v>0.4</v>
      </c>
      <c r="E9" s="290">
        <v>10</v>
      </c>
      <c r="F9" s="290">
        <v>2.16</v>
      </c>
      <c r="G9" s="291">
        <v>9590000</v>
      </c>
      <c r="H9" s="291">
        <f t="shared" si="0"/>
        <v>1918</v>
      </c>
      <c r="I9" s="291">
        <f t="shared" si="1"/>
        <v>4143</v>
      </c>
      <c r="J9" s="294"/>
    </row>
    <row r="10" spans="1:10" s="260" customFormat="1" ht="24.95" customHeight="1">
      <c r="A10" s="177">
        <v>3</v>
      </c>
      <c r="B10" s="293" t="s">
        <v>176</v>
      </c>
      <c r="C10" s="290" t="s">
        <v>55</v>
      </c>
      <c r="D10" s="290">
        <v>1.5</v>
      </c>
      <c r="E10" s="290">
        <v>10</v>
      </c>
      <c r="F10" s="290">
        <v>0.3</v>
      </c>
      <c r="G10" s="291">
        <v>69000000</v>
      </c>
      <c r="H10" s="291">
        <f t="shared" si="0"/>
        <v>13800</v>
      </c>
      <c r="I10" s="291">
        <f t="shared" si="1"/>
        <v>4140</v>
      </c>
      <c r="J10" s="294"/>
    </row>
    <row r="11" spans="1:10" s="260" customFormat="1" ht="24.95" customHeight="1">
      <c r="A11" s="177">
        <v>4</v>
      </c>
      <c r="B11" s="316" t="s">
        <v>177</v>
      </c>
      <c r="C11" s="317" t="s">
        <v>55</v>
      </c>
      <c r="D11" s="290">
        <v>0.4</v>
      </c>
      <c r="E11" s="290">
        <v>10</v>
      </c>
      <c r="F11" s="290">
        <v>0.11</v>
      </c>
      <c r="G11" s="291">
        <v>4800000</v>
      </c>
      <c r="H11" s="291">
        <f t="shared" si="0"/>
        <v>960</v>
      </c>
      <c r="I11" s="291">
        <f t="shared" si="1"/>
        <v>106</v>
      </c>
      <c r="J11" s="294"/>
    </row>
    <row r="12" spans="1:10" s="260" customFormat="1" ht="24.95" customHeight="1">
      <c r="A12" s="177">
        <v>5</v>
      </c>
      <c r="B12" s="293" t="s">
        <v>178</v>
      </c>
      <c r="C12" s="290" t="s">
        <v>55</v>
      </c>
      <c r="D12" s="290">
        <v>0.4</v>
      </c>
      <c r="E12" s="290">
        <v>10</v>
      </c>
      <c r="F12" s="290">
        <v>0.1</v>
      </c>
      <c r="G12" s="291">
        <v>400000</v>
      </c>
      <c r="H12" s="291">
        <f>ROUND(G12/(500*E12),0)</f>
        <v>80</v>
      </c>
      <c r="I12" s="291">
        <f>ROUND(F12*H12,0)</f>
        <v>8</v>
      </c>
      <c r="J12" s="294"/>
    </row>
    <row r="13" spans="1:10" s="260" customFormat="1" ht="24.95" customHeight="1">
      <c r="A13" s="177">
        <v>6</v>
      </c>
      <c r="B13" s="293" t="s">
        <v>75</v>
      </c>
      <c r="C13" s="290" t="s">
        <v>55</v>
      </c>
      <c r="D13" s="290">
        <v>0.5</v>
      </c>
      <c r="E13" s="290">
        <v>10</v>
      </c>
      <c r="F13" s="290">
        <v>0</v>
      </c>
      <c r="G13" s="291">
        <v>12990000</v>
      </c>
      <c r="H13" s="291">
        <f t="shared" si="0"/>
        <v>2598</v>
      </c>
      <c r="I13" s="291">
        <f t="shared" si="1"/>
        <v>0</v>
      </c>
      <c r="J13" s="294"/>
    </row>
    <row r="14" spans="1:10" s="260" customFormat="1" ht="24.95" customHeight="1">
      <c r="A14" s="177">
        <v>7</v>
      </c>
      <c r="B14" s="295" t="s">
        <v>57</v>
      </c>
      <c r="C14" s="296" t="s">
        <v>73</v>
      </c>
      <c r="D14" s="297"/>
      <c r="E14" s="297"/>
      <c r="F14" s="296">
        <v>20.239999999999998</v>
      </c>
      <c r="G14" s="306">
        <v>1864.44</v>
      </c>
      <c r="H14" s="297"/>
      <c r="I14" s="298"/>
      <c r="J14" s="298">
        <f>ROUND(F14*G14,0)</f>
        <v>37736</v>
      </c>
    </row>
    <row r="15" spans="1:10" s="260" customFormat="1" ht="21" customHeight="1">
      <c r="A15" s="591" t="s">
        <v>65</v>
      </c>
      <c r="B15" s="592"/>
      <c r="C15" s="592"/>
      <c r="D15" s="592"/>
      <c r="E15" s="592"/>
      <c r="F15" s="592"/>
      <c r="G15" s="592"/>
      <c r="H15" s="593"/>
      <c r="I15" s="300">
        <f>SUM(I8:I14)</f>
        <v>9224</v>
      </c>
      <c r="J15" s="300">
        <f>SUM(J11:J14)</f>
        <v>37736</v>
      </c>
    </row>
    <row r="16" spans="1:10" ht="11.25" customHeight="1">
      <c r="A16" s="252"/>
      <c r="B16" s="253"/>
      <c r="C16" s="253"/>
      <c r="D16" s="253"/>
      <c r="E16" s="253"/>
      <c r="F16" s="253"/>
      <c r="G16" s="252"/>
      <c r="H16" s="252"/>
      <c r="I16" s="254"/>
      <c r="J16" s="254"/>
    </row>
    <row r="17" spans="1:10" ht="18.75">
      <c r="A17" s="17"/>
      <c r="B17" s="597" t="s">
        <v>74</v>
      </c>
      <c r="C17" s="597"/>
      <c r="D17" s="597"/>
      <c r="E17" s="597"/>
      <c r="F17" s="597"/>
      <c r="G17" s="34"/>
      <c r="H17" s="12"/>
      <c r="I17" s="394"/>
      <c r="J17" s="395"/>
    </row>
    <row r="18" spans="1:10" ht="15.75">
      <c r="B18" s="603" t="s">
        <v>76</v>
      </c>
      <c r="C18" s="603"/>
      <c r="D18" s="603"/>
      <c r="E18" s="603"/>
      <c r="F18" s="313"/>
    </row>
    <row r="20" spans="1:10" ht="16.5">
      <c r="A20" s="576" t="s">
        <v>185</v>
      </c>
      <c r="B20" s="576"/>
      <c r="C20" s="576"/>
      <c r="D20" s="576"/>
      <c r="E20" s="576"/>
      <c r="F20" s="576"/>
      <c r="G20" s="576"/>
      <c r="H20" s="576"/>
      <c r="I20" s="576"/>
    </row>
    <row r="21" spans="1:10">
      <c r="A21" s="21"/>
      <c r="B21" s="21"/>
      <c r="C21" s="81"/>
      <c r="D21" s="81"/>
      <c r="E21" s="81"/>
      <c r="F21" s="33"/>
      <c r="G21" s="21"/>
      <c r="H21" s="21"/>
      <c r="I21" s="21"/>
    </row>
    <row r="22" spans="1:10" ht="47.25">
      <c r="A22" s="124" t="s">
        <v>161</v>
      </c>
      <c r="B22" s="134" t="s">
        <v>144</v>
      </c>
      <c r="C22" s="127" t="s">
        <v>145</v>
      </c>
      <c r="D22" s="124" t="s">
        <v>232</v>
      </c>
      <c r="E22" s="124" t="s">
        <v>233</v>
      </c>
    </row>
    <row r="23" spans="1:10" ht="31.5">
      <c r="A23" s="135">
        <v>1</v>
      </c>
      <c r="B23" s="130" t="s">
        <v>154</v>
      </c>
      <c r="C23" s="122">
        <v>0.6</v>
      </c>
      <c r="D23" s="207">
        <f>ROUND(($I$15*C23),0)</f>
        <v>5534</v>
      </c>
      <c r="E23" s="224">
        <f>ROUND(($J$15*C23),0)</f>
        <v>22642</v>
      </c>
    </row>
    <row r="24" spans="1:10" ht="31.5">
      <c r="A24" s="135">
        <v>2</v>
      </c>
      <c r="B24" s="130" t="s">
        <v>235</v>
      </c>
      <c r="C24" s="122">
        <v>0.36</v>
      </c>
      <c r="D24" s="207">
        <f>ROUND(($I$15*C24),0)</f>
        <v>3321</v>
      </c>
      <c r="E24" s="224">
        <f>ROUND(($J$15*C24),0)</f>
        <v>13585</v>
      </c>
    </row>
    <row r="25" spans="1:10" ht="52.5" customHeight="1">
      <c r="A25" s="135">
        <v>3</v>
      </c>
      <c r="B25" s="130" t="s">
        <v>114</v>
      </c>
      <c r="C25" s="122">
        <v>0.42</v>
      </c>
      <c r="D25" s="207">
        <f>ROUND(($I$15*C25),0)</f>
        <v>3874</v>
      </c>
      <c r="E25" s="224">
        <f>ROUND(($J$15*C25),0)</f>
        <v>15849</v>
      </c>
    </row>
  </sheetData>
  <mergeCells count="8">
    <mergeCell ref="A1:H1"/>
    <mergeCell ref="B3:D3"/>
    <mergeCell ref="B4:F4"/>
    <mergeCell ref="A15:H15"/>
    <mergeCell ref="B17:F17"/>
    <mergeCell ref="A20:I20"/>
    <mergeCell ref="A2:C2"/>
    <mergeCell ref="B18:E18"/>
  </mergeCells>
  <printOptions horizontalCentered="1"/>
  <pageMargins left="0" right="0" top="0.25" bottom="0.25" header="0.3" footer="0.3"/>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4" workbookViewId="0">
      <selection activeCell="H11" sqref="H11"/>
    </sheetView>
  </sheetViews>
  <sheetFormatPr defaultRowHeight="15"/>
  <cols>
    <col min="1" max="1" width="7.28515625" customWidth="1"/>
    <col min="2" max="2" width="28.140625" customWidth="1"/>
    <col min="3" max="3" width="9.42578125" customWidth="1"/>
    <col min="4" max="4" width="11" customWidth="1"/>
    <col min="5" max="5" width="12.7109375" customWidth="1"/>
    <col min="6" max="6" width="12" style="495" customWidth="1"/>
    <col min="7" max="7" width="13.7109375" customWidth="1"/>
    <col min="8" max="8" width="17.140625" customWidth="1"/>
    <col min="9" max="9" width="17" customWidth="1"/>
    <col min="10" max="10" width="18" customWidth="1"/>
  </cols>
  <sheetData>
    <row r="1" spans="1:10" ht="24.75" customHeight="1">
      <c r="A1" s="575" t="s">
        <v>349</v>
      </c>
      <c r="B1" s="575"/>
      <c r="C1" s="575"/>
      <c r="D1" s="575"/>
      <c r="E1" s="575"/>
      <c r="F1" s="575"/>
      <c r="G1" s="575"/>
      <c r="H1" s="575"/>
      <c r="I1" s="13"/>
    </row>
    <row r="2" spans="1:10" ht="25.5" customHeight="1">
      <c r="A2" s="598" t="s">
        <v>44</v>
      </c>
      <c r="B2" s="598"/>
      <c r="C2" s="598"/>
      <c r="D2" s="16"/>
      <c r="E2" s="16"/>
      <c r="F2" s="226"/>
      <c r="G2" s="12"/>
      <c r="H2" s="12"/>
      <c r="I2" s="1" t="s">
        <v>209</v>
      </c>
    </row>
    <row r="3" spans="1:10" ht="18.75">
      <c r="A3" s="10" t="s">
        <v>66</v>
      </c>
      <c r="B3" s="596" t="s">
        <v>67</v>
      </c>
      <c r="C3" s="596"/>
      <c r="D3" s="596"/>
      <c r="E3" s="12"/>
      <c r="F3" s="493"/>
      <c r="G3" s="12"/>
      <c r="H3" s="12"/>
      <c r="I3" s="13"/>
    </row>
    <row r="4" spans="1:10" ht="18.75">
      <c r="A4" s="116" t="s">
        <v>263</v>
      </c>
      <c r="B4" s="574" t="s">
        <v>115</v>
      </c>
      <c r="C4" s="574"/>
      <c r="D4" s="574"/>
      <c r="E4" s="574"/>
      <c r="F4" s="574"/>
      <c r="G4" s="12"/>
      <c r="H4" s="12"/>
      <c r="I4" s="13"/>
    </row>
    <row r="5" spans="1:10" ht="18.75">
      <c r="A5" s="17"/>
      <c r="B5" s="14"/>
      <c r="C5" s="17"/>
      <c r="D5" s="23"/>
      <c r="E5" s="12"/>
      <c r="F5" s="493"/>
      <c r="G5" s="12"/>
      <c r="H5" s="12"/>
      <c r="I5" s="13"/>
    </row>
    <row r="6" spans="1:10" ht="52.5" customHeight="1">
      <c r="A6" s="282" t="s">
        <v>2</v>
      </c>
      <c r="B6" s="282" t="s">
        <v>68</v>
      </c>
      <c r="C6" s="282" t="s">
        <v>48</v>
      </c>
      <c r="D6" s="282" t="s">
        <v>179</v>
      </c>
      <c r="E6" s="282" t="s">
        <v>180</v>
      </c>
      <c r="F6" s="283" t="s">
        <v>181</v>
      </c>
      <c r="G6" s="282" t="s">
        <v>278</v>
      </c>
      <c r="H6" s="283" t="s">
        <v>70</v>
      </c>
      <c r="I6" s="284" t="s">
        <v>71</v>
      </c>
      <c r="J6" s="285" t="s">
        <v>276</v>
      </c>
    </row>
    <row r="7" spans="1:10" ht="32.25" customHeight="1">
      <c r="A7" s="286" t="s">
        <v>7</v>
      </c>
      <c r="B7" s="286" t="s">
        <v>8</v>
      </c>
      <c r="C7" s="286" t="s">
        <v>9</v>
      </c>
      <c r="D7" s="286" t="s">
        <v>21</v>
      </c>
      <c r="E7" s="286" t="s">
        <v>52</v>
      </c>
      <c r="F7" s="286" t="s">
        <v>22</v>
      </c>
      <c r="G7" s="286" t="s">
        <v>23</v>
      </c>
      <c r="H7" s="287" t="s">
        <v>182</v>
      </c>
      <c r="I7" s="287" t="s">
        <v>183</v>
      </c>
      <c r="J7" s="288" t="s">
        <v>275</v>
      </c>
    </row>
    <row r="8" spans="1:10" ht="25.5" customHeight="1">
      <c r="A8" s="177">
        <v>1</v>
      </c>
      <c r="B8" s="289" t="s">
        <v>175</v>
      </c>
      <c r="C8" s="290" t="s">
        <v>55</v>
      </c>
      <c r="D8" s="290">
        <v>2.2000000000000002</v>
      </c>
      <c r="E8" s="290">
        <v>10</v>
      </c>
      <c r="F8" s="290">
        <v>0.32</v>
      </c>
      <c r="G8" s="291">
        <v>8990000</v>
      </c>
      <c r="H8" s="291">
        <f>ROUND(G8/(500*E8),0)</f>
        <v>1798</v>
      </c>
      <c r="I8" s="315">
        <f>ROUND(F8*H8,0)</f>
        <v>575</v>
      </c>
      <c r="J8" s="292"/>
    </row>
    <row r="9" spans="1:10" ht="24.95" customHeight="1">
      <c r="A9" s="177">
        <v>2</v>
      </c>
      <c r="B9" s="293" t="s">
        <v>72</v>
      </c>
      <c r="C9" s="290" t="s">
        <v>55</v>
      </c>
      <c r="D9" s="290">
        <v>0.4</v>
      </c>
      <c r="E9" s="290">
        <v>10</v>
      </c>
      <c r="F9" s="290">
        <v>0.04</v>
      </c>
      <c r="G9" s="291">
        <v>9590000</v>
      </c>
      <c r="H9" s="291">
        <f>ROUND(G9/(500*E9),0)</f>
        <v>1918</v>
      </c>
      <c r="I9" s="315">
        <f>ROUND(F9*H9,0)</f>
        <v>77</v>
      </c>
      <c r="J9" s="294"/>
    </row>
    <row r="10" spans="1:10" ht="24.95" customHeight="1">
      <c r="A10" s="177">
        <v>3</v>
      </c>
      <c r="B10" s="293" t="s">
        <v>176</v>
      </c>
      <c r="C10" s="290" t="s">
        <v>55</v>
      </c>
      <c r="D10" s="290">
        <v>1.5</v>
      </c>
      <c r="E10" s="290">
        <v>10</v>
      </c>
      <c r="F10" s="290">
        <v>0.12</v>
      </c>
      <c r="G10" s="291">
        <v>69000000</v>
      </c>
      <c r="H10" s="291">
        <f>ROUND(G10/(500*E10),0)</f>
        <v>13800</v>
      </c>
      <c r="I10" s="315">
        <f>ROUND(F10*H10,0)</f>
        <v>1656</v>
      </c>
      <c r="J10" s="294"/>
    </row>
    <row r="11" spans="1:10" ht="24.95" customHeight="1">
      <c r="A11" s="177">
        <v>4</v>
      </c>
      <c r="B11" s="295" t="s">
        <v>57</v>
      </c>
      <c r="C11" s="296" t="s">
        <v>73</v>
      </c>
      <c r="D11" s="297"/>
      <c r="E11" s="297"/>
      <c r="F11" s="296">
        <v>7.56</v>
      </c>
      <c r="G11" s="306">
        <v>1864.44</v>
      </c>
      <c r="H11" s="297"/>
      <c r="I11" s="260"/>
      <c r="J11" s="298">
        <f>ROUND(F11*G11,0)</f>
        <v>14095</v>
      </c>
    </row>
    <row r="12" spans="1:10" ht="21.75" customHeight="1">
      <c r="A12" s="591" t="s">
        <v>65</v>
      </c>
      <c r="B12" s="592"/>
      <c r="C12" s="592"/>
      <c r="D12" s="592"/>
      <c r="E12" s="592"/>
      <c r="F12" s="592"/>
      <c r="G12" s="592"/>
      <c r="H12" s="593"/>
      <c r="I12" s="299">
        <f>SUM(I8:I11)</f>
        <v>2308</v>
      </c>
      <c r="J12" s="300">
        <f>SUM(J8:J11)</f>
        <v>14095</v>
      </c>
    </row>
    <row r="13" spans="1:10" ht="9.75" customHeight="1">
      <c r="A13" s="252"/>
      <c r="B13" s="252"/>
      <c r="C13" s="252"/>
      <c r="D13" s="252"/>
      <c r="E13" s="252"/>
      <c r="F13" s="492"/>
      <c r="G13" s="252"/>
      <c r="H13" s="252"/>
      <c r="I13" s="254"/>
      <c r="J13" s="254"/>
    </row>
    <row r="14" spans="1:10" ht="18.75">
      <c r="A14" s="17"/>
      <c r="B14" s="594" t="s">
        <v>74</v>
      </c>
      <c r="C14" s="594"/>
      <c r="D14" s="594"/>
      <c r="E14" s="594"/>
      <c r="F14" s="594"/>
      <c r="G14" s="34"/>
      <c r="H14" s="12"/>
      <c r="I14" s="394">
        <v>2739</v>
      </c>
      <c r="J14" s="397">
        <v>16314</v>
      </c>
    </row>
    <row r="15" spans="1:10" ht="15.75">
      <c r="B15" s="595" t="s">
        <v>76</v>
      </c>
      <c r="C15" s="595"/>
      <c r="D15" s="595"/>
      <c r="E15" s="595"/>
      <c r="F15" s="494"/>
      <c r="J15" s="255"/>
    </row>
    <row r="16" spans="1:10">
      <c r="J16" s="254"/>
    </row>
    <row r="18" spans="1:9" ht="16.5">
      <c r="A18" s="576" t="s">
        <v>185</v>
      </c>
      <c r="B18" s="576"/>
      <c r="C18" s="576"/>
      <c r="D18" s="576"/>
      <c r="E18" s="576"/>
      <c r="F18" s="576"/>
      <c r="G18" s="576"/>
      <c r="H18" s="576"/>
      <c r="I18" s="576"/>
    </row>
    <row r="19" spans="1:9">
      <c r="A19" s="21"/>
      <c r="B19" s="21"/>
      <c r="C19" s="81"/>
      <c r="D19" s="81"/>
      <c r="E19" s="81"/>
      <c r="F19" s="496"/>
      <c r="G19" s="21"/>
      <c r="H19" s="21"/>
      <c r="I19" s="21"/>
    </row>
    <row r="20" spans="1:9" s="21" customFormat="1">
      <c r="C20" s="81"/>
      <c r="D20" s="81"/>
      <c r="E20" s="81"/>
      <c r="F20" s="496"/>
    </row>
    <row r="21" spans="1:9" s="21" customFormat="1" ht="72.75" customHeight="1">
      <c r="A21" s="604" t="s">
        <v>144</v>
      </c>
      <c r="B21" s="604"/>
      <c r="C21" s="127" t="s">
        <v>145</v>
      </c>
      <c r="D21" s="124" t="s">
        <v>232</v>
      </c>
      <c r="E21" s="276" t="s">
        <v>233</v>
      </c>
      <c r="F21" s="58"/>
    </row>
    <row r="22" spans="1:9" s="21" customFormat="1" ht="30.75" customHeight="1">
      <c r="A22" s="605" t="s">
        <v>156</v>
      </c>
      <c r="B22" s="606"/>
      <c r="C22" s="122">
        <v>0.67</v>
      </c>
      <c r="D22" s="207">
        <f>ROUND((I12*C22),0)</f>
        <v>1546</v>
      </c>
      <c r="E22" s="224">
        <f>ROUND((J12*C22),0)</f>
        <v>9444</v>
      </c>
      <c r="F22" s="58"/>
    </row>
  </sheetData>
  <mergeCells count="10">
    <mergeCell ref="A21:B21"/>
    <mergeCell ref="A22:B22"/>
    <mergeCell ref="A1:H1"/>
    <mergeCell ref="B3:D3"/>
    <mergeCell ref="B4:F4"/>
    <mergeCell ref="A12:H12"/>
    <mergeCell ref="B14:F14"/>
    <mergeCell ref="A18:I18"/>
    <mergeCell ref="A2:C2"/>
    <mergeCell ref="B15:E15"/>
  </mergeCells>
  <printOptions horizontalCentered="1"/>
  <pageMargins left="0" right="0" top="0.5" bottom="0.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7" workbookViewId="0">
      <selection activeCell="E10" sqref="E10"/>
    </sheetView>
  </sheetViews>
  <sheetFormatPr defaultRowHeight="15"/>
  <cols>
    <col min="1" max="1" width="7.85546875" customWidth="1"/>
    <col min="2" max="2" width="28.140625" customWidth="1"/>
    <col min="3" max="3" width="9.42578125" customWidth="1"/>
    <col min="4" max="4" width="11" customWidth="1"/>
    <col min="5" max="5" width="12.7109375" customWidth="1"/>
    <col min="6" max="6" width="12" customWidth="1"/>
    <col min="7" max="7" width="13.7109375" customWidth="1"/>
    <col min="8" max="8" width="17.140625" customWidth="1"/>
    <col min="9" max="9" width="17" customWidth="1"/>
    <col min="10" max="10" width="18" customWidth="1"/>
  </cols>
  <sheetData>
    <row r="1" spans="1:10" ht="24.75" customHeight="1">
      <c r="A1" s="575" t="s">
        <v>349</v>
      </c>
      <c r="B1" s="575"/>
      <c r="C1" s="575"/>
      <c r="D1" s="575"/>
      <c r="E1" s="575"/>
      <c r="F1" s="575"/>
      <c r="G1" s="575"/>
      <c r="H1" s="575"/>
      <c r="I1" s="13"/>
    </row>
    <row r="2" spans="1:10" ht="25.5" customHeight="1">
      <c r="A2" s="598" t="s">
        <v>44</v>
      </c>
      <c r="B2" s="598"/>
      <c r="C2" s="598"/>
      <c r="D2" s="16"/>
      <c r="E2" s="16"/>
      <c r="F2" s="16"/>
      <c r="G2" s="12"/>
      <c r="H2" s="12"/>
      <c r="I2" s="1" t="s">
        <v>210</v>
      </c>
    </row>
    <row r="3" spans="1:10" ht="18.75">
      <c r="A3" s="10" t="s">
        <v>66</v>
      </c>
      <c r="B3" s="596" t="s">
        <v>67</v>
      </c>
      <c r="C3" s="596"/>
      <c r="D3" s="596"/>
      <c r="E3" s="12"/>
      <c r="F3" s="12"/>
      <c r="G3" s="12"/>
      <c r="H3" s="12"/>
      <c r="I3" s="13"/>
    </row>
    <row r="4" spans="1:10" ht="18.75">
      <c r="A4" s="116" t="s">
        <v>353</v>
      </c>
      <c r="B4" s="574" t="s">
        <v>354</v>
      </c>
      <c r="C4" s="574"/>
      <c r="D4" s="574"/>
      <c r="E4" s="574"/>
      <c r="F4" s="574"/>
      <c r="G4" s="12"/>
      <c r="H4" s="12"/>
      <c r="I4" s="13"/>
    </row>
    <row r="5" spans="1:10" ht="18.75">
      <c r="A5" s="17"/>
      <c r="B5" s="14"/>
      <c r="C5" s="17"/>
      <c r="D5" s="23"/>
      <c r="E5" s="12"/>
      <c r="F5" s="12"/>
      <c r="G5" s="12"/>
      <c r="H5" s="12"/>
      <c r="I5" s="13"/>
    </row>
    <row r="6" spans="1:10" ht="52.5" customHeight="1">
      <c r="A6" s="282" t="s">
        <v>2</v>
      </c>
      <c r="B6" s="282" t="s">
        <v>68</v>
      </c>
      <c r="C6" s="282" t="s">
        <v>48</v>
      </c>
      <c r="D6" s="282" t="s">
        <v>179</v>
      </c>
      <c r="E6" s="282" t="s">
        <v>180</v>
      </c>
      <c r="F6" s="283" t="s">
        <v>181</v>
      </c>
      <c r="G6" s="282" t="s">
        <v>278</v>
      </c>
      <c r="H6" s="283" t="s">
        <v>70</v>
      </c>
      <c r="I6" s="284" t="s">
        <v>71</v>
      </c>
      <c r="J6" s="285" t="s">
        <v>276</v>
      </c>
    </row>
    <row r="7" spans="1:10" ht="32.25" customHeight="1">
      <c r="A7" s="286" t="s">
        <v>7</v>
      </c>
      <c r="B7" s="286" t="s">
        <v>8</v>
      </c>
      <c r="C7" s="286" t="s">
        <v>9</v>
      </c>
      <c r="D7" s="286" t="s">
        <v>21</v>
      </c>
      <c r="E7" s="286" t="s">
        <v>52</v>
      </c>
      <c r="F7" s="286" t="s">
        <v>22</v>
      </c>
      <c r="G7" s="286" t="s">
        <v>23</v>
      </c>
      <c r="H7" s="287" t="s">
        <v>182</v>
      </c>
      <c r="I7" s="287" t="s">
        <v>183</v>
      </c>
      <c r="J7" s="288" t="s">
        <v>275</v>
      </c>
    </row>
    <row r="8" spans="1:10" ht="25.5" customHeight="1">
      <c r="A8" s="177">
        <v>1</v>
      </c>
      <c r="B8" s="289" t="s">
        <v>175</v>
      </c>
      <c r="C8" s="290" t="s">
        <v>55</v>
      </c>
      <c r="D8" s="290">
        <v>2.2000000000000002</v>
      </c>
      <c r="E8" s="290">
        <v>10</v>
      </c>
      <c r="F8" s="290">
        <v>1.39</v>
      </c>
      <c r="G8" s="291">
        <v>8990000</v>
      </c>
      <c r="H8" s="291">
        <f>ROUND(G8/(500*E8),0)</f>
        <v>1798</v>
      </c>
      <c r="I8" s="315">
        <f>ROUND(F8*H8,0)</f>
        <v>2499</v>
      </c>
      <c r="J8" s="292"/>
    </row>
    <row r="9" spans="1:10" ht="24.95" customHeight="1">
      <c r="A9" s="177">
        <v>2</v>
      </c>
      <c r="B9" s="293" t="s">
        <v>72</v>
      </c>
      <c r="C9" s="290" t="s">
        <v>55</v>
      </c>
      <c r="D9" s="290">
        <v>0.4</v>
      </c>
      <c r="E9" s="290">
        <v>10</v>
      </c>
      <c r="F9" s="290">
        <v>1.44</v>
      </c>
      <c r="G9" s="291">
        <v>9590000</v>
      </c>
      <c r="H9" s="291">
        <f>ROUND(G9/(500*E9),0)</f>
        <v>1918</v>
      </c>
      <c r="I9" s="315">
        <f>ROUND(F9*H9,0)</f>
        <v>2762</v>
      </c>
      <c r="J9" s="294"/>
    </row>
    <row r="10" spans="1:10" ht="24.95" customHeight="1">
      <c r="A10" s="177">
        <v>3</v>
      </c>
      <c r="B10" s="293" t="s">
        <v>176</v>
      </c>
      <c r="C10" s="290" t="s">
        <v>55</v>
      </c>
      <c r="D10" s="290">
        <v>1.5</v>
      </c>
      <c r="E10" s="290">
        <v>10</v>
      </c>
      <c r="F10" s="290">
        <v>0.25</v>
      </c>
      <c r="G10" s="291">
        <v>69000000</v>
      </c>
      <c r="H10" s="291">
        <f>ROUND(G10/(500*E10),0)</f>
        <v>13800</v>
      </c>
      <c r="I10" s="315">
        <f>ROUND(F10*H10,0)</f>
        <v>3450</v>
      </c>
      <c r="J10" s="294"/>
    </row>
    <row r="11" spans="1:10" ht="24.95" customHeight="1">
      <c r="A11" s="177">
        <v>4</v>
      </c>
      <c r="B11" s="295" t="s">
        <v>57</v>
      </c>
      <c r="C11" s="296" t="s">
        <v>73</v>
      </c>
      <c r="D11" s="297"/>
      <c r="E11" s="297"/>
      <c r="F11" s="296">
        <v>33.68</v>
      </c>
      <c r="G11" s="306">
        <v>1864.44</v>
      </c>
      <c r="H11" s="297"/>
      <c r="I11" s="260"/>
      <c r="J11" s="298">
        <f>ROUND(F11*G11,0)</f>
        <v>62794</v>
      </c>
    </row>
    <row r="12" spans="1:10" ht="21.75" customHeight="1">
      <c r="A12" s="591" t="s">
        <v>65</v>
      </c>
      <c r="B12" s="592"/>
      <c r="C12" s="592"/>
      <c r="D12" s="592"/>
      <c r="E12" s="592"/>
      <c r="F12" s="592"/>
      <c r="G12" s="592"/>
      <c r="H12" s="593"/>
      <c r="I12" s="299">
        <f>SUM(I8:I11)</f>
        <v>8711</v>
      </c>
      <c r="J12" s="300">
        <f>SUM(J8:J11)</f>
        <v>62794</v>
      </c>
    </row>
    <row r="13" spans="1:10" ht="9.75" customHeight="1">
      <c r="A13" s="252"/>
      <c r="B13" s="252"/>
      <c r="C13" s="252"/>
      <c r="D13" s="252"/>
      <c r="E13" s="252"/>
      <c r="F13" s="252"/>
      <c r="G13" s="252"/>
      <c r="H13" s="252"/>
      <c r="I13" s="254"/>
      <c r="J13" s="254"/>
    </row>
    <row r="14" spans="1:10" ht="18.75">
      <c r="A14" s="17"/>
      <c r="B14" s="594" t="s">
        <v>74</v>
      </c>
      <c r="C14" s="594"/>
      <c r="D14" s="594"/>
      <c r="E14" s="594"/>
      <c r="F14" s="594"/>
      <c r="G14" s="34"/>
      <c r="H14" s="12"/>
      <c r="I14" s="394">
        <v>2739</v>
      </c>
      <c r="J14" s="397">
        <v>16314</v>
      </c>
    </row>
    <row r="15" spans="1:10" ht="15.75">
      <c r="B15" s="595" t="s">
        <v>76</v>
      </c>
      <c r="C15" s="595"/>
      <c r="D15" s="595"/>
      <c r="E15" s="595"/>
      <c r="F15" s="260"/>
      <c r="J15" s="255"/>
    </row>
    <row r="16" spans="1:10">
      <c r="J16" s="254"/>
    </row>
    <row r="18" spans="1:9" ht="16.5">
      <c r="A18" s="576" t="s">
        <v>185</v>
      </c>
      <c r="B18" s="576"/>
      <c r="C18" s="576"/>
      <c r="D18" s="576"/>
      <c r="E18" s="576"/>
      <c r="F18" s="576"/>
      <c r="G18" s="576"/>
      <c r="H18" s="576"/>
      <c r="I18" s="576"/>
    </row>
    <row r="19" spans="1:9" s="21" customFormat="1" ht="72.75" customHeight="1">
      <c r="A19" s="607" t="s">
        <v>144</v>
      </c>
      <c r="B19" s="608"/>
      <c r="C19" s="127" t="s">
        <v>145</v>
      </c>
      <c r="D19" s="414" t="s">
        <v>232</v>
      </c>
      <c r="E19" s="414" t="s">
        <v>233</v>
      </c>
    </row>
    <row r="20" spans="1:9" s="21" customFormat="1" ht="30.75" customHeight="1">
      <c r="A20" s="589" t="s">
        <v>160</v>
      </c>
      <c r="B20" s="590"/>
      <c r="C20" s="122">
        <v>0.77</v>
      </c>
      <c r="D20" s="207">
        <f>ROUND(($I$12*C20),0)</f>
        <v>6707</v>
      </c>
      <c r="E20" s="224">
        <f>ROUND(($J$12*C20),0)</f>
        <v>48351</v>
      </c>
    </row>
    <row r="21" spans="1:9" ht="15.75">
      <c r="A21" s="135">
        <v>1</v>
      </c>
      <c r="B21" s="431" t="s">
        <v>157</v>
      </c>
      <c r="C21" s="135">
        <v>0.23</v>
      </c>
      <c r="D21" s="207">
        <f>ROUND(($I$12*C21),0)</f>
        <v>2004</v>
      </c>
      <c r="E21" s="224">
        <f>ROUND(($J$12*C21),0)</f>
        <v>14443</v>
      </c>
    </row>
    <row r="22" spans="1:9" ht="15.75">
      <c r="A22" s="135">
        <v>2</v>
      </c>
      <c r="B22" s="431" t="s">
        <v>158</v>
      </c>
      <c r="C22" s="135"/>
      <c r="D22" s="207">
        <f>ROUND(($I$12*C22),0)</f>
        <v>0</v>
      </c>
      <c r="E22" s="224">
        <f>ROUND(($J$12*C22),0)</f>
        <v>0</v>
      </c>
    </row>
    <row r="23" spans="1:9" ht="47.25">
      <c r="A23" s="135" t="s">
        <v>32</v>
      </c>
      <c r="B23" s="432" t="s">
        <v>159</v>
      </c>
      <c r="C23" s="135">
        <v>0.23</v>
      </c>
      <c r="D23" s="207">
        <f>ROUND(($I$12*C23),0)</f>
        <v>2004</v>
      </c>
      <c r="E23" s="224">
        <f>ROUND(($J$12*C23),0)</f>
        <v>14443</v>
      </c>
    </row>
    <row r="24" spans="1:9" ht="47.25">
      <c r="A24" s="135" t="s">
        <v>33</v>
      </c>
      <c r="B24" s="258" t="s">
        <v>234</v>
      </c>
      <c r="C24" s="135">
        <v>0.31</v>
      </c>
      <c r="D24" s="207">
        <f>ROUND(($I$12*C24),0)</f>
        <v>2700</v>
      </c>
      <c r="E24" s="224">
        <f>ROUND(($J$12*C24),0)</f>
        <v>19466</v>
      </c>
    </row>
  </sheetData>
  <mergeCells count="10">
    <mergeCell ref="B15:E15"/>
    <mergeCell ref="A18:I18"/>
    <mergeCell ref="A19:B19"/>
    <mergeCell ref="A20:B20"/>
    <mergeCell ref="A1:H1"/>
    <mergeCell ref="A2:C2"/>
    <mergeCell ref="B3:D3"/>
    <mergeCell ref="B4:F4"/>
    <mergeCell ref="A12:H12"/>
    <mergeCell ref="B14:F14"/>
  </mergeCells>
  <printOptions horizontalCentered="1"/>
  <pageMargins left="0" right="0" top="0.5" bottom="0.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3"/>
  <sheetViews>
    <sheetView showZeros="0" topLeftCell="A13" zoomScaleNormal="100" workbookViewId="0">
      <selection activeCell="C26" sqref="C26"/>
    </sheetView>
  </sheetViews>
  <sheetFormatPr defaultRowHeight="15.75"/>
  <cols>
    <col min="1" max="1" width="7.5703125" style="437" customWidth="1"/>
    <col min="2" max="2" width="31.5703125" style="439" customWidth="1"/>
    <col min="3" max="3" width="17.28515625" style="437" customWidth="1"/>
    <col min="4" max="4" width="22" style="438" customWidth="1"/>
    <col min="5" max="5" width="28.28515625" style="435" customWidth="1"/>
    <col min="6" max="6" width="20.42578125" style="435" customWidth="1"/>
    <col min="7" max="8" width="17.7109375" style="435" customWidth="1"/>
    <col min="9" max="9" width="5" style="434" customWidth="1"/>
    <col min="10" max="16384" width="9.140625" style="434"/>
  </cols>
  <sheetData>
    <row r="1" spans="1:8" ht="24.75" customHeight="1">
      <c r="A1" s="609" t="s">
        <v>349</v>
      </c>
      <c r="B1" s="609"/>
      <c r="C1" s="609"/>
      <c r="D1" s="609"/>
      <c r="E1" s="609"/>
      <c r="F1" s="609"/>
      <c r="G1" s="609"/>
      <c r="H1" s="609"/>
    </row>
    <row r="2" spans="1:8" ht="18" customHeight="1">
      <c r="A2" s="609" t="s">
        <v>260</v>
      </c>
      <c r="B2" s="609"/>
      <c r="C2" s="609"/>
      <c r="D2" s="489"/>
      <c r="E2" s="433"/>
      <c r="F2" s="162" t="s">
        <v>211</v>
      </c>
      <c r="H2" s="433"/>
    </row>
    <row r="3" spans="1:8">
      <c r="A3" s="433" t="s">
        <v>34</v>
      </c>
      <c r="B3" s="436" t="s">
        <v>77</v>
      </c>
    </row>
    <row r="4" spans="1:8">
      <c r="A4" s="433" t="s">
        <v>125</v>
      </c>
      <c r="B4" s="610" t="s">
        <v>296</v>
      </c>
      <c r="C4" s="610"/>
      <c r="D4" s="610"/>
      <c r="E4" s="610"/>
    </row>
    <row r="5" spans="1:8" ht="5.25" customHeight="1"/>
    <row r="6" spans="1:8" ht="38.450000000000003" customHeight="1">
      <c r="A6" s="500" t="s">
        <v>2</v>
      </c>
      <c r="B6" s="500" t="s">
        <v>77</v>
      </c>
      <c r="C6" s="500" t="s">
        <v>250</v>
      </c>
      <c r="D6" s="500" t="s">
        <v>69</v>
      </c>
      <c r="E6" s="452" t="s">
        <v>281</v>
      </c>
      <c r="F6" s="452" t="s">
        <v>294</v>
      </c>
      <c r="G6" s="434"/>
      <c r="H6" s="434"/>
    </row>
    <row r="7" spans="1:8" ht="18.75" customHeight="1">
      <c r="A7" s="36" t="s">
        <v>7</v>
      </c>
      <c r="B7" s="36" t="s">
        <v>8</v>
      </c>
      <c r="C7" s="36" t="s">
        <v>9</v>
      </c>
      <c r="D7" s="36" t="s">
        <v>21</v>
      </c>
      <c r="E7" s="36" t="s">
        <v>52</v>
      </c>
      <c r="F7" s="38" t="s">
        <v>189</v>
      </c>
      <c r="G7" s="434"/>
      <c r="H7" s="434"/>
    </row>
    <row r="8" spans="1:8" ht="18.75" customHeight="1">
      <c r="A8" s="147">
        <v>1</v>
      </c>
      <c r="B8" s="149" t="s">
        <v>195</v>
      </c>
      <c r="C8" s="148" t="s">
        <v>197</v>
      </c>
      <c r="D8" s="148">
        <v>0.05</v>
      </c>
      <c r="E8" s="155">
        <v>12000</v>
      </c>
      <c r="F8" s="440">
        <f t="shared" ref="F8:F15" si="0">ROUND(D8*E8,0)</f>
        <v>600</v>
      </c>
      <c r="G8" s="434"/>
      <c r="H8" s="434"/>
    </row>
    <row r="9" spans="1:8" ht="21.95" customHeight="1">
      <c r="A9" s="441">
        <v>2</v>
      </c>
      <c r="B9" s="442" t="s">
        <v>82</v>
      </c>
      <c r="C9" s="447" t="s">
        <v>192</v>
      </c>
      <c r="D9" s="490">
        <v>0.01</v>
      </c>
      <c r="E9" s="442">
        <v>1400000</v>
      </c>
      <c r="F9" s="440">
        <f t="shared" si="0"/>
        <v>14000</v>
      </c>
      <c r="G9" s="434"/>
      <c r="H9" s="434"/>
    </row>
    <row r="10" spans="1:8" ht="21.95" customHeight="1">
      <c r="A10" s="147">
        <v>3</v>
      </c>
      <c r="B10" s="443" t="s">
        <v>81</v>
      </c>
      <c r="C10" s="444" t="s">
        <v>193</v>
      </c>
      <c r="D10" s="491">
        <v>1</v>
      </c>
      <c r="E10" s="443">
        <v>4000</v>
      </c>
      <c r="F10" s="440">
        <f t="shared" si="0"/>
        <v>4000</v>
      </c>
      <c r="G10" s="434"/>
      <c r="H10" s="434"/>
    </row>
    <row r="11" spans="1:8" ht="21.95" customHeight="1">
      <c r="A11" s="441">
        <v>4</v>
      </c>
      <c r="B11" s="442" t="s">
        <v>84</v>
      </c>
      <c r="C11" s="447" t="s">
        <v>190</v>
      </c>
      <c r="D11" s="490">
        <v>0.05</v>
      </c>
      <c r="E11" s="442">
        <v>75000</v>
      </c>
      <c r="F11" s="440">
        <f t="shared" si="0"/>
        <v>3750</v>
      </c>
      <c r="G11" s="434"/>
      <c r="H11" s="434"/>
    </row>
    <row r="12" spans="1:8" ht="21.95" customHeight="1">
      <c r="A12" s="147">
        <v>5</v>
      </c>
      <c r="B12" s="442" t="s">
        <v>85</v>
      </c>
      <c r="C12" s="447" t="s">
        <v>192</v>
      </c>
      <c r="D12" s="490">
        <v>0.01</v>
      </c>
      <c r="E12" s="442">
        <v>5000</v>
      </c>
      <c r="F12" s="440">
        <f t="shared" si="0"/>
        <v>50</v>
      </c>
      <c r="G12" s="434"/>
      <c r="H12" s="434"/>
    </row>
    <row r="13" spans="1:8" ht="21.95" customHeight="1">
      <c r="A13" s="441">
        <v>6</v>
      </c>
      <c r="B13" s="442" t="s">
        <v>87</v>
      </c>
      <c r="C13" s="447" t="s">
        <v>193</v>
      </c>
      <c r="D13" s="490">
        <v>1</v>
      </c>
      <c r="E13" s="442">
        <v>1000</v>
      </c>
      <c r="F13" s="440">
        <f t="shared" si="0"/>
        <v>1000</v>
      </c>
      <c r="G13" s="434"/>
      <c r="H13" s="434"/>
    </row>
    <row r="14" spans="1:8" ht="21.95" customHeight="1">
      <c r="A14" s="147">
        <v>7</v>
      </c>
      <c r="B14" s="442" t="s">
        <v>56</v>
      </c>
      <c r="C14" s="447" t="s">
        <v>191</v>
      </c>
      <c r="D14" s="490">
        <v>0.05</v>
      </c>
      <c r="E14" s="442">
        <v>100000</v>
      </c>
      <c r="F14" s="440">
        <f t="shared" si="0"/>
        <v>5000</v>
      </c>
      <c r="G14" s="434"/>
      <c r="H14" s="434"/>
    </row>
    <row r="15" spans="1:8" ht="21.95" customHeight="1">
      <c r="A15" s="441">
        <v>8</v>
      </c>
      <c r="B15" s="442" t="s">
        <v>188</v>
      </c>
      <c r="C15" s="447" t="s">
        <v>192</v>
      </c>
      <c r="D15" s="490">
        <v>0.01</v>
      </c>
      <c r="E15" s="442">
        <v>1200000</v>
      </c>
      <c r="F15" s="440">
        <f t="shared" si="0"/>
        <v>12000</v>
      </c>
      <c r="G15" s="434"/>
      <c r="H15" s="434"/>
    </row>
    <row r="16" spans="1:8" ht="21" customHeight="1">
      <c r="A16" s="445"/>
      <c r="B16" s="616" t="s">
        <v>287</v>
      </c>
      <c r="C16" s="616"/>
      <c r="D16" s="616"/>
      <c r="E16" s="616"/>
      <c r="F16" s="446">
        <f>SUM(F8:F15)</f>
        <v>40400</v>
      </c>
      <c r="G16" s="434"/>
      <c r="H16" s="434"/>
    </row>
    <row r="17" spans="1:9" ht="24" customHeight="1">
      <c r="A17" s="445"/>
      <c r="B17" s="616" t="s">
        <v>288</v>
      </c>
      <c r="C17" s="616"/>
      <c r="D17" s="616"/>
      <c r="E17" s="616"/>
      <c r="F17" s="446">
        <f>F16*0.08</f>
        <v>3232</v>
      </c>
      <c r="G17" s="434"/>
      <c r="H17" s="434"/>
    </row>
    <row r="18" spans="1:9" ht="21.75" customHeight="1">
      <c r="A18" s="445"/>
      <c r="B18" s="616" t="s">
        <v>65</v>
      </c>
      <c r="C18" s="616"/>
      <c r="D18" s="616"/>
      <c r="E18" s="616"/>
      <c r="F18" s="446">
        <f>F16+F17</f>
        <v>43632</v>
      </c>
      <c r="G18" s="434"/>
      <c r="H18" s="434"/>
    </row>
    <row r="20" spans="1:9" s="11" customFormat="1" ht="27" customHeight="1">
      <c r="A20" s="617" t="s">
        <v>351</v>
      </c>
      <c r="B20" s="617"/>
      <c r="C20" s="617"/>
      <c r="D20" s="617"/>
      <c r="E20" s="617"/>
      <c r="F20" s="617"/>
      <c r="G20" s="617"/>
      <c r="H20" s="617"/>
      <c r="I20" s="617"/>
    </row>
    <row r="21" spans="1:9" s="11" customFormat="1" ht="3" customHeight="1">
      <c r="D21" s="176"/>
    </row>
    <row r="22" spans="1:9" s="11" customFormat="1" ht="31.5">
      <c r="A22" s="611" t="s">
        <v>144</v>
      </c>
      <c r="B22" s="611"/>
      <c r="C22" s="612"/>
      <c r="D22" s="448" t="s">
        <v>145</v>
      </c>
      <c r="E22" s="449" t="s">
        <v>146</v>
      </c>
    </row>
    <row r="23" spans="1:9" s="11" customFormat="1">
      <c r="A23" s="613" t="s">
        <v>296</v>
      </c>
      <c r="B23" s="614"/>
      <c r="C23" s="615"/>
      <c r="D23" s="450">
        <v>0.56000000000000005</v>
      </c>
      <c r="E23" s="451">
        <f>ROUND((F18*D23),0)</f>
        <v>24434</v>
      </c>
    </row>
  </sheetData>
  <mergeCells count="9">
    <mergeCell ref="A1:H1"/>
    <mergeCell ref="A2:C2"/>
    <mergeCell ref="B4:E4"/>
    <mergeCell ref="A22:C22"/>
    <mergeCell ref="A23:C23"/>
    <mergeCell ref="B16:E16"/>
    <mergeCell ref="A20:I20"/>
    <mergeCell ref="B17:E17"/>
    <mergeCell ref="B18:E18"/>
  </mergeCells>
  <printOptions horizontalCentered="1"/>
  <pageMargins left="0.25" right="0" top="0.25" bottom="0.25" header="0.27" footer="0.2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Zeros="0" topLeftCell="A16" zoomScaleNormal="100" workbookViewId="0">
      <selection activeCell="E26" sqref="E26"/>
    </sheetView>
  </sheetViews>
  <sheetFormatPr defaultRowHeight="15.75"/>
  <cols>
    <col min="1" max="1" width="7.5703125" style="437" customWidth="1"/>
    <col min="2" max="2" width="31.5703125" style="439" customWidth="1"/>
    <col min="3" max="3" width="17.28515625" style="437" customWidth="1"/>
    <col min="4" max="4" width="22" style="438" customWidth="1"/>
    <col min="5" max="5" width="28.28515625" style="435" customWidth="1"/>
    <col min="6" max="6" width="24.85546875" style="435" customWidth="1"/>
    <col min="7" max="8" width="17.7109375" style="435" customWidth="1"/>
    <col min="9" max="9" width="5" style="434" customWidth="1"/>
    <col min="10" max="16384" width="9.140625" style="434"/>
  </cols>
  <sheetData>
    <row r="1" spans="1:8" ht="24.75" customHeight="1">
      <c r="A1" s="609" t="s">
        <v>349</v>
      </c>
      <c r="B1" s="609"/>
      <c r="C1" s="609"/>
      <c r="D1" s="609"/>
      <c r="E1" s="609"/>
      <c r="F1" s="609"/>
      <c r="G1" s="609"/>
      <c r="H1" s="609"/>
    </row>
    <row r="2" spans="1:8" ht="18" customHeight="1">
      <c r="A2" s="609" t="s">
        <v>260</v>
      </c>
      <c r="B2" s="609"/>
      <c r="C2" s="609"/>
      <c r="D2" s="489"/>
      <c r="E2" s="433"/>
      <c r="F2" s="162" t="s">
        <v>212</v>
      </c>
      <c r="H2" s="433"/>
    </row>
    <row r="3" spans="1:8">
      <c r="A3" s="433" t="s">
        <v>34</v>
      </c>
      <c r="B3" s="436" t="s">
        <v>77</v>
      </c>
    </row>
    <row r="4" spans="1:8">
      <c r="A4" s="433" t="s">
        <v>126</v>
      </c>
      <c r="B4" s="610" t="s">
        <v>99</v>
      </c>
      <c r="C4" s="610"/>
      <c r="D4" s="610"/>
      <c r="E4" s="610"/>
    </row>
    <row r="5" spans="1:8" ht="5.25" customHeight="1"/>
    <row r="6" spans="1:8" ht="38.450000000000003" customHeight="1">
      <c r="A6" s="500" t="s">
        <v>2</v>
      </c>
      <c r="B6" s="500" t="s">
        <v>77</v>
      </c>
      <c r="C6" s="500" t="s">
        <v>250</v>
      </c>
      <c r="D6" s="500" t="s">
        <v>69</v>
      </c>
      <c r="E6" s="452" t="s">
        <v>281</v>
      </c>
      <c r="F6" s="452" t="s">
        <v>355</v>
      </c>
      <c r="G6" s="434"/>
      <c r="H6" s="434"/>
    </row>
    <row r="7" spans="1:8" ht="18.75" customHeight="1">
      <c r="A7" s="35" t="s">
        <v>7</v>
      </c>
      <c r="B7" s="36" t="s">
        <v>8</v>
      </c>
      <c r="C7" s="36" t="s">
        <v>9</v>
      </c>
      <c r="D7" s="36" t="s">
        <v>21</v>
      </c>
      <c r="E7" s="36" t="s">
        <v>52</v>
      </c>
      <c r="F7" s="38" t="s">
        <v>189</v>
      </c>
      <c r="G7" s="434"/>
      <c r="H7" s="434"/>
    </row>
    <row r="8" spans="1:8" ht="21.95" customHeight="1">
      <c r="A8" s="441">
        <v>1</v>
      </c>
      <c r="B8" s="442" t="s">
        <v>82</v>
      </c>
      <c r="C8" s="447" t="s">
        <v>192</v>
      </c>
      <c r="D8" s="490">
        <v>0.18</v>
      </c>
      <c r="E8" s="442">
        <v>1400000</v>
      </c>
      <c r="F8" s="440">
        <f t="shared" ref="F8:F16" si="0">ROUND(D8*E8,0)</f>
        <v>252000</v>
      </c>
      <c r="G8" s="434"/>
      <c r="H8" s="434"/>
    </row>
    <row r="9" spans="1:8" ht="21.95" customHeight="1">
      <c r="A9" s="441">
        <v>2</v>
      </c>
      <c r="B9" s="443" t="s">
        <v>81</v>
      </c>
      <c r="C9" s="444" t="s">
        <v>193</v>
      </c>
      <c r="D9" s="491">
        <v>1.8</v>
      </c>
      <c r="E9" s="443">
        <v>4000</v>
      </c>
      <c r="F9" s="440">
        <f t="shared" si="0"/>
        <v>7200</v>
      </c>
      <c r="G9" s="434"/>
      <c r="H9" s="434"/>
    </row>
    <row r="10" spans="1:8" ht="21.95" customHeight="1">
      <c r="A10" s="441">
        <v>3</v>
      </c>
      <c r="B10" s="442" t="s">
        <v>83</v>
      </c>
      <c r="C10" s="447" t="s">
        <v>194</v>
      </c>
      <c r="D10" s="490">
        <v>0.9</v>
      </c>
      <c r="E10" s="442">
        <v>7500</v>
      </c>
      <c r="F10" s="440">
        <f t="shared" si="0"/>
        <v>6750</v>
      </c>
      <c r="G10" s="434"/>
      <c r="H10" s="434"/>
    </row>
    <row r="11" spans="1:8" ht="21.95" customHeight="1">
      <c r="A11" s="441">
        <v>4</v>
      </c>
      <c r="B11" s="442" t="s">
        <v>84</v>
      </c>
      <c r="C11" s="447" t="s">
        <v>190</v>
      </c>
      <c r="D11" s="490">
        <v>0.45</v>
      </c>
      <c r="E11" s="442">
        <v>75000</v>
      </c>
      <c r="F11" s="440">
        <f t="shared" si="0"/>
        <v>33750</v>
      </c>
      <c r="G11" s="434"/>
      <c r="H11" s="434"/>
    </row>
    <row r="12" spans="1:8" ht="21.95" customHeight="1">
      <c r="A12" s="441">
        <v>5</v>
      </c>
      <c r="B12" s="442" t="s">
        <v>85</v>
      </c>
      <c r="C12" s="447" t="s">
        <v>192</v>
      </c>
      <c r="D12" s="490">
        <v>0.9</v>
      </c>
      <c r="E12" s="442">
        <v>5000</v>
      </c>
      <c r="F12" s="440">
        <f t="shared" si="0"/>
        <v>4500</v>
      </c>
      <c r="G12" s="434"/>
      <c r="H12" s="434"/>
    </row>
    <row r="13" spans="1:8" ht="21.95" customHeight="1">
      <c r="A13" s="441">
        <v>6</v>
      </c>
      <c r="B13" s="442" t="s">
        <v>187</v>
      </c>
      <c r="C13" s="447" t="s">
        <v>192</v>
      </c>
      <c r="D13" s="490">
        <v>4.5</v>
      </c>
      <c r="E13" s="442">
        <v>24000</v>
      </c>
      <c r="F13" s="440">
        <f t="shared" si="0"/>
        <v>108000</v>
      </c>
      <c r="G13" s="434"/>
      <c r="H13" s="434"/>
    </row>
    <row r="14" spans="1:8" ht="21.95" customHeight="1">
      <c r="A14" s="441">
        <v>7</v>
      </c>
      <c r="B14" s="442" t="s">
        <v>87</v>
      </c>
      <c r="C14" s="447" t="s">
        <v>193</v>
      </c>
      <c r="D14" s="490">
        <v>10</v>
      </c>
      <c r="E14" s="442">
        <v>1000</v>
      </c>
      <c r="F14" s="440">
        <f t="shared" si="0"/>
        <v>10000</v>
      </c>
      <c r="G14" s="434"/>
      <c r="H14" s="434"/>
    </row>
    <row r="15" spans="1:8" ht="21.95" customHeight="1">
      <c r="A15" s="441">
        <v>8</v>
      </c>
      <c r="B15" s="442" t="s">
        <v>56</v>
      </c>
      <c r="C15" s="447" t="s">
        <v>191</v>
      </c>
      <c r="D15" s="490">
        <v>1.8</v>
      </c>
      <c r="E15" s="442">
        <v>100000</v>
      </c>
      <c r="F15" s="440">
        <f t="shared" si="0"/>
        <v>180000</v>
      </c>
      <c r="G15" s="434"/>
      <c r="H15" s="434"/>
    </row>
    <row r="16" spans="1:8" ht="21.95" customHeight="1">
      <c r="A16" s="441">
        <v>9</v>
      </c>
      <c r="B16" s="442" t="s">
        <v>188</v>
      </c>
      <c r="C16" s="447" t="s">
        <v>192</v>
      </c>
      <c r="D16" s="490">
        <v>0.09</v>
      </c>
      <c r="E16" s="442">
        <v>1200000</v>
      </c>
      <c r="F16" s="440">
        <f t="shared" si="0"/>
        <v>108000</v>
      </c>
      <c r="G16" s="434"/>
      <c r="H16" s="434"/>
    </row>
    <row r="17" spans="1:9" ht="21" customHeight="1">
      <c r="A17" s="445"/>
      <c r="B17" s="616" t="s">
        <v>287</v>
      </c>
      <c r="C17" s="616"/>
      <c r="D17" s="616"/>
      <c r="E17" s="616"/>
      <c r="F17" s="446">
        <f>SUM(F8:F16)</f>
        <v>710200</v>
      </c>
      <c r="G17" s="434"/>
      <c r="H17" s="434"/>
    </row>
    <row r="18" spans="1:9" ht="24" customHeight="1">
      <c r="A18" s="445"/>
      <c r="B18" s="616" t="s">
        <v>288</v>
      </c>
      <c r="C18" s="616"/>
      <c r="D18" s="616"/>
      <c r="E18" s="616"/>
      <c r="F18" s="446">
        <f>F17*0.08</f>
        <v>56816</v>
      </c>
      <c r="G18" s="434"/>
      <c r="H18" s="434"/>
    </row>
    <row r="19" spans="1:9" ht="21.75" customHeight="1">
      <c r="A19" s="445"/>
      <c r="B19" s="616" t="s">
        <v>65</v>
      </c>
      <c r="C19" s="616"/>
      <c r="D19" s="616"/>
      <c r="E19" s="616"/>
      <c r="F19" s="446">
        <f>F17+F18</f>
        <v>767016</v>
      </c>
      <c r="G19" s="434"/>
      <c r="H19" s="434"/>
    </row>
    <row r="21" spans="1:9" s="11" customFormat="1" ht="27" customHeight="1">
      <c r="A21" s="617" t="s">
        <v>186</v>
      </c>
      <c r="B21" s="617"/>
      <c r="C21" s="617"/>
      <c r="D21" s="617"/>
      <c r="E21" s="617"/>
      <c r="F21" s="617"/>
      <c r="G21" s="617"/>
      <c r="H21" s="617"/>
      <c r="I21" s="617"/>
    </row>
    <row r="22" spans="1:9" s="11" customFormat="1" ht="3" customHeight="1">
      <c r="D22" s="176"/>
    </row>
    <row r="23" spans="1:9" s="11" customFormat="1" ht="42" customHeight="1">
      <c r="A23" s="611" t="s">
        <v>144</v>
      </c>
      <c r="B23" s="611"/>
      <c r="C23" s="612"/>
      <c r="D23" s="448" t="s">
        <v>145</v>
      </c>
      <c r="E23" s="449" t="s">
        <v>146</v>
      </c>
    </row>
    <row r="24" spans="1:9" s="11" customFormat="1">
      <c r="A24" s="613" t="s">
        <v>99</v>
      </c>
      <c r="B24" s="614"/>
      <c r="C24" s="615"/>
      <c r="D24" s="450">
        <v>0.6</v>
      </c>
      <c r="E24" s="451">
        <f>ROUND((F19*D24),0)</f>
        <v>460210</v>
      </c>
    </row>
  </sheetData>
  <mergeCells count="9">
    <mergeCell ref="B4:E4"/>
    <mergeCell ref="A1:H1"/>
    <mergeCell ref="A2:C2"/>
    <mergeCell ref="A24:C24"/>
    <mergeCell ref="B17:E17"/>
    <mergeCell ref="B18:E18"/>
    <mergeCell ref="B19:E19"/>
    <mergeCell ref="A21:I21"/>
    <mergeCell ref="A23:C23"/>
  </mergeCells>
  <printOptions horizontalCentered="1"/>
  <pageMargins left="0.25" right="0" top="0.25" bottom="0.25" header="0.27" footer="0.2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showZeros="0" topLeftCell="A22" zoomScale="85" zoomScaleNormal="85" workbookViewId="0">
      <selection activeCell="A6" sqref="A6:F6"/>
    </sheetView>
  </sheetViews>
  <sheetFormatPr defaultRowHeight="18.75"/>
  <cols>
    <col min="1" max="1" width="7.5703125" style="139" customWidth="1"/>
    <col min="2" max="2" width="33.7109375" style="142" customWidth="1"/>
    <col min="3" max="3" width="22.7109375" style="139" customWidth="1"/>
    <col min="4" max="4" width="20.42578125" style="140" customWidth="1"/>
    <col min="5" max="5" width="25.85546875" style="141" customWidth="1"/>
    <col min="6" max="6" width="27" style="141" customWidth="1"/>
    <col min="7" max="8" width="17.7109375" style="141" customWidth="1"/>
    <col min="9" max="9" width="5" style="138" customWidth="1"/>
    <col min="10" max="16384" width="9.140625" style="138"/>
  </cols>
  <sheetData>
    <row r="1" spans="1:8" ht="24.75" customHeight="1">
      <c r="A1" s="622" t="s">
        <v>349</v>
      </c>
      <c r="B1" s="622"/>
      <c r="C1" s="622"/>
      <c r="D1" s="622"/>
      <c r="E1" s="622"/>
      <c r="F1" s="622"/>
      <c r="G1" s="622"/>
      <c r="H1" s="622"/>
    </row>
    <row r="2" spans="1:8" ht="24.75" customHeight="1">
      <c r="A2" s="623" t="s">
        <v>260</v>
      </c>
      <c r="B2" s="623"/>
      <c r="C2" s="623"/>
      <c r="D2" s="45"/>
      <c r="E2" s="45"/>
      <c r="F2" s="1" t="s">
        <v>213</v>
      </c>
      <c r="G2" s="1"/>
      <c r="H2" s="45"/>
    </row>
    <row r="3" spans="1:8">
      <c r="A3" s="45" t="s">
        <v>34</v>
      </c>
      <c r="B3" s="44" t="s">
        <v>77</v>
      </c>
    </row>
    <row r="4" spans="1:8" ht="24" customHeight="1">
      <c r="A4" s="45" t="s">
        <v>127</v>
      </c>
      <c r="B4" s="618" t="s">
        <v>100</v>
      </c>
      <c r="C4" s="618"/>
      <c r="D4" s="618"/>
    </row>
    <row r="5" spans="1:8" ht="5.25" customHeight="1"/>
    <row r="6" spans="1:8" ht="38.450000000000003" customHeight="1">
      <c r="A6" s="501" t="s">
        <v>2</v>
      </c>
      <c r="B6" s="501" t="s">
        <v>77</v>
      </c>
      <c r="C6" s="501" t="s">
        <v>48</v>
      </c>
      <c r="D6" s="501" t="s">
        <v>69</v>
      </c>
      <c r="E6" s="502" t="s">
        <v>281</v>
      </c>
      <c r="F6" s="416" t="s">
        <v>78</v>
      </c>
      <c r="G6" s="138"/>
      <c r="H6" s="138"/>
    </row>
    <row r="7" spans="1:8" ht="18.75" customHeight="1">
      <c r="A7" s="35" t="s">
        <v>7</v>
      </c>
      <c r="B7" s="36" t="s">
        <v>8</v>
      </c>
      <c r="C7" s="36" t="s">
        <v>9</v>
      </c>
      <c r="D7" s="36" t="s">
        <v>21</v>
      </c>
      <c r="E7" s="37" t="s">
        <v>52</v>
      </c>
      <c r="F7" s="38" t="s">
        <v>189</v>
      </c>
      <c r="G7" s="138"/>
      <c r="H7" s="138"/>
    </row>
    <row r="8" spans="1:8" ht="24" customHeight="1">
      <c r="A8" s="150">
        <v>1</v>
      </c>
      <c r="B8" s="208" t="s">
        <v>195</v>
      </c>
      <c r="C8" s="209" t="s">
        <v>197</v>
      </c>
      <c r="D8" s="488">
        <v>9</v>
      </c>
      <c r="E8" s="156">
        <v>12000</v>
      </c>
      <c r="F8" s="39">
        <f t="shared" ref="F8:F19" si="0">ROUND(D8*E8,0)</f>
        <v>108000</v>
      </c>
      <c r="G8" s="138"/>
      <c r="H8" s="138"/>
    </row>
    <row r="9" spans="1:8" ht="21.75" customHeight="1">
      <c r="A9" s="151">
        <v>2</v>
      </c>
      <c r="B9" s="210" t="s">
        <v>196</v>
      </c>
      <c r="C9" s="211" t="s">
        <v>197</v>
      </c>
      <c r="D9" s="487">
        <v>5</v>
      </c>
      <c r="E9" s="154">
        <v>4000</v>
      </c>
      <c r="F9" s="39">
        <f t="shared" si="0"/>
        <v>20000</v>
      </c>
      <c r="G9" s="138"/>
      <c r="H9" s="138"/>
    </row>
    <row r="10" spans="1:8" ht="21.95" customHeight="1">
      <c r="A10" s="151">
        <v>3</v>
      </c>
      <c r="B10" s="143" t="s">
        <v>82</v>
      </c>
      <c r="C10" s="43" t="s">
        <v>192</v>
      </c>
      <c r="D10" s="486">
        <v>1.2</v>
      </c>
      <c r="E10" s="40">
        <v>1400000</v>
      </c>
      <c r="F10" s="39">
        <f t="shared" si="0"/>
        <v>1680000</v>
      </c>
      <c r="G10" s="138"/>
      <c r="H10" s="138"/>
    </row>
    <row r="11" spans="1:8" ht="21.95" customHeight="1">
      <c r="A11" s="151">
        <v>4</v>
      </c>
      <c r="B11" s="144" t="s">
        <v>81</v>
      </c>
      <c r="C11" s="161" t="s">
        <v>193</v>
      </c>
      <c r="D11" s="484">
        <v>15</v>
      </c>
      <c r="E11" s="144">
        <v>4000</v>
      </c>
      <c r="F11" s="39">
        <f t="shared" si="0"/>
        <v>60000</v>
      </c>
      <c r="G11" s="138"/>
      <c r="H11" s="138"/>
    </row>
    <row r="12" spans="1:8" ht="21.95" customHeight="1">
      <c r="A12" s="151">
        <v>5</v>
      </c>
      <c r="B12" s="143" t="s">
        <v>83</v>
      </c>
      <c r="C12" s="43" t="s">
        <v>194</v>
      </c>
      <c r="D12" s="486">
        <v>3.5</v>
      </c>
      <c r="E12" s="40">
        <v>7500</v>
      </c>
      <c r="F12" s="39">
        <f t="shared" si="0"/>
        <v>26250</v>
      </c>
      <c r="G12" s="138"/>
      <c r="H12" s="138"/>
    </row>
    <row r="13" spans="1:8" ht="21.95" customHeight="1">
      <c r="A13" s="151">
        <v>6</v>
      </c>
      <c r="B13" s="143" t="s">
        <v>84</v>
      </c>
      <c r="C13" s="43" t="s">
        <v>190</v>
      </c>
      <c r="D13" s="486">
        <v>9</v>
      </c>
      <c r="E13" s="40">
        <v>75000</v>
      </c>
      <c r="F13" s="39">
        <f t="shared" si="0"/>
        <v>675000</v>
      </c>
      <c r="G13" s="138"/>
      <c r="H13" s="138"/>
    </row>
    <row r="14" spans="1:8" ht="21.95" customHeight="1">
      <c r="A14" s="151">
        <v>7</v>
      </c>
      <c r="B14" s="143" t="s">
        <v>85</v>
      </c>
      <c r="C14" s="43" t="s">
        <v>192</v>
      </c>
      <c r="D14" s="486">
        <v>9</v>
      </c>
      <c r="E14" s="40">
        <v>5000</v>
      </c>
      <c r="F14" s="39">
        <f t="shared" si="0"/>
        <v>45000</v>
      </c>
      <c r="G14" s="138"/>
      <c r="H14" s="138"/>
    </row>
    <row r="15" spans="1:8" ht="21.95" customHeight="1">
      <c r="A15" s="151">
        <v>8</v>
      </c>
      <c r="B15" s="143" t="s">
        <v>86</v>
      </c>
      <c r="C15" s="43" t="s">
        <v>192</v>
      </c>
      <c r="D15" s="486">
        <v>5</v>
      </c>
      <c r="E15" s="40">
        <v>5000</v>
      </c>
      <c r="F15" s="39">
        <f t="shared" si="0"/>
        <v>25000</v>
      </c>
      <c r="G15" s="138"/>
      <c r="H15" s="138"/>
    </row>
    <row r="16" spans="1:8" ht="21.95" customHeight="1">
      <c r="A16" s="151">
        <v>9</v>
      </c>
      <c r="B16" s="143" t="s">
        <v>187</v>
      </c>
      <c r="C16" s="43" t="s">
        <v>192</v>
      </c>
      <c r="D16" s="486">
        <v>5</v>
      </c>
      <c r="E16" s="40">
        <v>24000</v>
      </c>
      <c r="F16" s="39">
        <f t="shared" si="0"/>
        <v>120000</v>
      </c>
      <c r="G16" s="138"/>
      <c r="H16" s="138"/>
    </row>
    <row r="17" spans="1:9" ht="21.95" customHeight="1">
      <c r="A17" s="151">
        <v>10</v>
      </c>
      <c r="B17" s="143" t="s">
        <v>87</v>
      </c>
      <c r="C17" s="43" t="s">
        <v>193</v>
      </c>
      <c r="D17" s="486">
        <v>45</v>
      </c>
      <c r="E17" s="40">
        <v>1000</v>
      </c>
      <c r="F17" s="39">
        <f t="shared" si="0"/>
        <v>45000</v>
      </c>
      <c r="G17" s="138"/>
      <c r="H17" s="138"/>
    </row>
    <row r="18" spans="1:9" ht="21.95" customHeight="1">
      <c r="A18" s="151">
        <v>11</v>
      </c>
      <c r="B18" s="143" t="s">
        <v>200</v>
      </c>
      <c r="C18" s="43" t="s">
        <v>191</v>
      </c>
      <c r="D18" s="486">
        <v>25</v>
      </c>
      <c r="E18" s="40">
        <v>25000</v>
      </c>
      <c r="F18" s="39">
        <f t="shared" si="0"/>
        <v>625000</v>
      </c>
      <c r="G18" s="138"/>
      <c r="H18" s="138"/>
    </row>
    <row r="19" spans="1:9" ht="21.95" customHeight="1">
      <c r="A19" s="147">
        <v>12</v>
      </c>
      <c r="B19" s="143" t="s">
        <v>188</v>
      </c>
      <c r="C19" s="43" t="s">
        <v>192</v>
      </c>
      <c r="D19" s="486">
        <v>0.6</v>
      </c>
      <c r="E19" s="40">
        <v>1200000</v>
      </c>
      <c r="F19" s="39">
        <f t="shared" si="0"/>
        <v>720000</v>
      </c>
      <c r="G19" s="138"/>
      <c r="H19" s="138"/>
    </row>
    <row r="20" spans="1:9" ht="22.5" customHeight="1">
      <c r="A20" s="41"/>
      <c r="B20" s="619" t="s">
        <v>287</v>
      </c>
      <c r="C20" s="620"/>
      <c r="D20" s="621"/>
      <c r="E20" s="42"/>
      <c r="F20" s="145">
        <f>SUM(F8:F19)</f>
        <v>4149250</v>
      </c>
      <c r="G20" s="138"/>
      <c r="H20" s="138"/>
    </row>
    <row r="21" spans="1:9" ht="23.25" customHeight="1">
      <c r="A21" s="41"/>
      <c r="B21" s="624" t="s">
        <v>288</v>
      </c>
      <c r="C21" s="624"/>
      <c r="D21" s="624"/>
      <c r="E21" s="42"/>
      <c r="F21" s="145">
        <f>F20*0.08</f>
        <v>331940</v>
      </c>
      <c r="G21" s="138"/>
      <c r="H21" s="138"/>
    </row>
    <row r="22" spans="1:9" ht="22.5" customHeight="1">
      <c r="A22" s="41"/>
      <c r="B22" s="624" t="s">
        <v>65</v>
      </c>
      <c r="C22" s="624"/>
      <c r="D22" s="624"/>
      <c r="E22" s="42"/>
      <c r="F22" s="145">
        <f>F20+F21</f>
        <v>4481190</v>
      </c>
      <c r="G22" s="138"/>
      <c r="H22" s="138"/>
    </row>
    <row r="23" spans="1:9">
      <c r="F23" s="398"/>
    </row>
    <row r="25" spans="1:9" ht="12.75" customHeight="1"/>
    <row r="26" spans="1:9" customFormat="1" ht="16.5">
      <c r="A26" s="576" t="s">
        <v>198</v>
      </c>
      <c r="B26" s="576"/>
      <c r="C26" s="576"/>
      <c r="D26" s="576"/>
      <c r="E26" s="576"/>
      <c r="F26" s="576"/>
      <c r="G26" s="576"/>
      <c r="H26" s="576"/>
      <c r="I26" s="576"/>
    </row>
    <row r="27" spans="1:9" customFormat="1" ht="15">
      <c r="A27" s="21"/>
      <c r="B27" s="21"/>
      <c r="C27" s="81"/>
      <c r="D27" s="81"/>
      <c r="E27" s="81"/>
      <c r="F27" s="33"/>
      <c r="G27" s="21"/>
      <c r="H27" s="21"/>
      <c r="I27" s="21"/>
    </row>
    <row r="28" spans="1:9" customFormat="1" ht="45.75" customHeight="1">
      <c r="A28" s="136" t="s">
        <v>161</v>
      </c>
      <c r="B28" s="121" t="s">
        <v>144</v>
      </c>
      <c r="C28" s="125" t="s">
        <v>145</v>
      </c>
      <c r="D28" s="267" t="s">
        <v>279</v>
      </c>
      <c r="E28" s="136" t="s">
        <v>146</v>
      </c>
      <c r="F28" s="21"/>
      <c r="G28" s="21"/>
    </row>
    <row r="29" spans="1:9" customFormat="1" ht="37.5">
      <c r="A29" s="133"/>
      <c r="B29" s="120" t="s">
        <v>100</v>
      </c>
      <c r="C29" s="195">
        <v>0.53200000000000003</v>
      </c>
      <c r="D29" s="268">
        <v>1</v>
      </c>
      <c r="E29" s="119">
        <f>ROUND((F$22*C29*D29),0)</f>
        <v>2383993</v>
      </c>
      <c r="F29" s="21"/>
      <c r="G29" s="21"/>
    </row>
    <row r="30" spans="1:9" customFormat="1">
      <c r="A30" s="131">
        <v>1</v>
      </c>
      <c r="B30" s="132" t="s">
        <v>101</v>
      </c>
      <c r="C30" s="195">
        <v>1.2E-2</v>
      </c>
      <c r="D30" s="268">
        <v>1</v>
      </c>
      <c r="E30" s="119">
        <f t="shared" ref="E30:E47" si="1">ROUND((F$22*C30*D30),0)</f>
        <v>53774</v>
      </c>
      <c r="F30" s="21"/>
      <c r="G30" s="21"/>
    </row>
    <row r="31" spans="1:9" s="81" customFormat="1">
      <c r="A31" s="131" t="s">
        <v>129</v>
      </c>
      <c r="B31" s="199" t="s">
        <v>225</v>
      </c>
      <c r="C31" s="195">
        <v>1.2E-2</v>
      </c>
      <c r="D31" s="269">
        <v>1</v>
      </c>
      <c r="E31" s="119">
        <f t="shared" si="1"/>
        <v>53774</v>
      </c>
      <c r="F31"/>
      <c r="G31"/>
    </row>
    <row r="32" spans="1:9" s="81" customFormat="1">
      <c r="A32" s="131" t="s">
        <v>130</v>
      </c>
      <c r="B32" s="199" t="s">
        <v>226</v>
      </c>
      <c r="C32" s="195">
        <v>1.2E-2</v>
      </c>
      <c r="D32" s="269">
        <v>0.5</v>
      </c>
      <c r="E32" s="119">
        <f t="shared" si="1"/>
        <v>26887</v>
      </c>
      <c r="F32"/>
      <c r="G32"/>
    </row>
    <row r="33" spans="1:7" s="81" customFormat="1">
      <c r="A33" s="131" t="s">
        <v>131</v>
      </c>
      <c r="B33" s="199" t="s">
        <v>227</v>
      </c>
      <c r="C33" s="195">
        <v>1.2E-2</v>
      </c>
      <c r="D33" s="269">
        <v>0.6</v>
      </c>
      <c r="E33" s="119">
        <f t="shared" si="1"/>
        <v>32265</v>
      </c>
      <c r="F33"/>
      <c r="G33"/>
    </row>
    <row r="34" spans="1:7" s="81" customFormat="1">
      <c r="A34" s="131" t="s">
        <v>132</v>
      </c>
      <c r="B34" s="199" t="s">
        <v>228</v>
      </c>
      <c r="C34" s="195">
        <v>1.2E-2</v>
      </c>
      <c r="D34" s="269">
        <v>0.7</v>
      </c>
      <c r="E34" s="119">
        <f t="shared" si="1"/>
        <v>37642</v>
      </c>
      <c r="F34"/>
      <c r="G34"/>
    </row>
    <row r="35" spans="1:7" s="81" customFormat="1">
      <c r="A35" s="131" t="s">
        <v>230</v>
      </c>
      <c r="B35" s="199" t="s">
        <v>229</v>
      </c>
      <c r="C35" s="195">
        <v>1.2E-2</v>
      </c>
      <c r="D35" s="269">
        <v>0.5</v>
      </c>
      <c r="E35" s="119">
        <f t="shared" si="1"/>
        <v>26887</v>
      </c>
      <c r="F35"/>
      <c r="G35"/>
    </row>
    <row r="36" spans="1:7" customFormat="1" ht="24.75" customHeight="1">
      <c r="A36" s="131">
        <v>2</v>
      </c>
      <c r="B36" s="132" t="s">
        <v>102</v>
      </c>
      <c r="C36" s="195">
        <v>0.22700000000000001</v>
      </c>
      <c r="D36" s="268">
        <v>1</v>
      </c>
      <c r="E36" s="119">
        <f t="shared" si="1"/>
        <v>1017230</v>
      </c>
      <c r="F36" s="21"/>
      <c r="G36" s="21"/>
    </row>
    <row r="37" spans="1:7" customFormat="1" ht="24" customHeight="1">
      <c r="A37" s="131" t="s">
        <v>32</v>
      </c>
      <c r="B37" s="132" t="s">
        <v>103</v>
      </c>
      <c r="C37" s="195">
        <v>2.5000000000000001E-2</v>
      </c>
      <c r="D37" s="268">
        <v>1</v>
      </c>
      <c r="E37" s="119">
        <f t="shared" si="1"/>
        <v>112030</v>
      </c>
      <c r="F37" s="21"/>
      <c r="G37" s="21"/>
    </row>
    <row r="38" spans="1:7" customFormat="1" ht="22.5" customHeight="1">
      <c r="A38" s="131" t="s">
        <v>33</v>
      </c>
      <c r="B38" s="132" t="s">
        <v>104</v>
      </c>
      <c r="C38" s="195">
        <v>7.5999999999999998E-2</v>
      </c>
      <c r="D38" s="268">
        <v>1</v>
      </c>
      <c r="E38" s="119">
        <f t="shared" si="1"/>
        <v>340570</v>
      </c>
      <c r="F38" s="21"/>
      <c r="G38" s="21"/>
    </row>
    <row r="39" spans="1:7" customFormat="1" ht="22.5" customHeight="1">
      <c r="A39" s="131" t="s">
        <v>34</v>
      </c>
      <c r="B39" s="132" t="s">
        <v>105</v>
      </c>
      <c r="C39" s="195">
        <v>9.6000000000000002E-2</v>
      </c>
      <c r="D39" s="268">
        <v>1</v>
      </c>
      <c r="E39" s="119">
        <f t="shared" si="1"/>
        <v>430194</v>
      </c>
      <c r="F39" s="21"/>
      <c r="G39" s="21"/>
    </row>
    <row r="40" spans="1:7" customFormat="1" ht="23.25" customHeight="1">
      <c r="A40" s="131" t="s">
        <v>35</v>
      </c>
      <c r="B40" s="132" t="s">
        <v>106</v>
      </c>
      <c r="C40" s="195">
        <v>1.4999999999999999E-2</v>
      </c>
      <c r="D40" s="268">
        <v>1</v>
      </c>
      <c r="E40" s="119">
        <f t="shared" si="1"/>
        <v>67218</v>
      </c>
      <c r="F40" s="21"/>
      <c r="G40" s="21"/>
    </row>
    <row r="41" spans="1:7" customFormat="1" ht="25.5" customHeight="1">
      <c r="A41" s="131" t="s">
        <v>36</v>
      </c>
      <c r="B41" s="132" t="s">
        <v>107</v>
      </c>
      <c r="C41" s="195">
        <v>1.4999999999999999E-2</v>
      </c>
      <c r="D41" s="268">
        <v>1</v>
      </c>
      <c r="E41" s="119">
        <f t="shared" si="1"/>
        <v>67218</v>
      </c>
      <c r="F41" s="21"/>
      <c r="G41" s="21"/>
    </row>
    <row r="42" spans="1:7" customFormat="1" ht="23.25" customHeight="1">
      <c r="A42" s="131">
        <v>3</v>
      </c>
      <c r="B42" s="132" t="s">
        <v>108</v>
      </c>
      <c r="C42" s="195">
        <v>0.29299999999999998</v>
      </c>
      <c r="D42" s="268">
        <v>1</v>
      </c>
      <c r="E42" s="119">
        <f t="shared" si="1"/>
        <v>1312989</v>
      </c>
      <c r="F42" s="21"/>
      <c r="G42" s="21"/>
    </row>
    <row r="43" spans="1:7" customFormat="1" ht="24" customHeight="1">
      <c r="A43" s="131" t="s">
        <v>40</v>
      </c>
      <c r="B43" s="132" t="s">
        <v>103</v>
      </c>
      <c r="C43" s="195">
        <v>0.04</v>
      </c>
      <c r="D43" s="268">
        <v>1</v>
      </c>
      <c r="E43" s="119">
        <f t="shared" si="1"/>
        <v>179248</v>
      </c>
      <c r="F43" s="21"/>
      <c r="G43" s="21"/>
    </row>
    <row r="44" spans="1:7" customFormat="1" ht="24.75" customHeight="1">
      <c r="A44" s="131" t="s">
        <v>41</v>
      </c>
      <c r="B44" s="132" t="s">
        <v>104</v>
      </c>
      <c r="C44" s="195">
        <v>9.0999999999999998E-2</v>
      </c>
      <c r="D44" s="268">
        <v>1</v>
      </c>
      <c r="E44" s="119">
        <f t="shared" si="1"/>
        <v>407788</v>
      </c>
      <c r="F44" s="21"/>
      <c r="G44" s="21"/>
    </row>
    <row r="45" spans="1:7" customFormat="1" ht="24" customHeight="1">
      <c r="A45" s="131" t="s">
        <v>162</v>
      </c>
      <c r="B45" s="132" t="s">
        <v>105</v>
      </c>
      <c r="C45" s="195">
        <v>0.112</v>
      </c>
      <c r="D45" s="268">
        <v>1</v>
      </c>
      <c r="E45" s="119">
        <f t="shared" si="1"/>
        <v>501893</v>
      </c>
      <c r="F45" s="21"/>
      <c r="G45" s="21"/>
    </row>
    <row r="46" spans="1:7" customFormat="1" ht="24" customHeight="1">
      <c r="A46" s="131" t="s">
        <v>163</v>
      </c>
      <c r="B46" s="132" t="s">
        <v>106</v>
      </c>
      <c r="C46" s="195">
        <v>2.5000000000000001E-2</v>
      </c>
      <c r="D46" s="268">
        <v>1</v>
      </c>
      <c r="E46" s="119">
        <f t="shared" si="1"/>
        <v>112030</v>
      </c>
      <c r="F46" s="21"/>
      <c r="G46" s="21"/>
    </row>
    <row r="47" spans="1:7" customFormat="1" ht="23.25" customHeight="1">
      <c r="A47" s="131" t="s">
        <v>164</v>
      </c>
      <c r="B47" s="132" t="s">
        <v>107</v>
      </c>
      <c r="C47" s="195">
        <v>2.5000000000000001E-2</v>
      </c>
      <c r="D47" s="268">
        <v>1</v>
      </c>
      <c r="E47" s="119">
        <f t="shared" si="1"/>
        <v>112030</v>
      </c>
      <c r="F47" s="21"/>
      <c r="G47" s="21"/>
    </row>
    <row r="48" spans="1:7" customFormat="1" ht="24.75" customHeight="1">
      <c r="A48" s="21"/>
      <c r="B48" s="21"/>
    </row>
    <row r="49" spans="4:8">
      <c r="D49" s="141"/>
      <c r="G49" s="138"/>
      <c r="H49" s="138"/>
    </row>
  </sheetData>
  <mergeCells count="7">
    <mergeCell ref="B4:D4"/>
    <mergeCell ref="B20:D20"/>
    <mergeCell ref="A26:I26"/>
    <mergeCell ref="A1:H1"/>
    <mergeCell ref="A2:C2"/>
    <mergeCell ref="B21:D21"/>
    <mergeCell ref="B22:D22"/>
  </mergeCells>
  <printOptions horizontalCentered="1"/>
  <pageMargins left="0.25" right="0.25" top="0.5" bottom="0.25" header="0.27" footer="0.25"/>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68"/>
  <sheetViews>
    <sheetView topLeftCell="A61" zoomScale="85" zoomScaleNormal="85" workbookViewId="0">
      <selection activeCell="E65" sqref="E65"/>
    </sheetView>
  </sheetViews>
  <sheetFormatPr defaultRowHeight="15"/>
  <cols>
    <col min="1" max="1" width="7.140625" style="81" bestFit="1" customWidth="1"/>
    <col min="2" max="2" width="35.140625" style="81" customWidth="1"/>
    <col min="3" max="3" width="17.28515625" style="81" customWidth="1"/>
    <col min="4" max="4" width="6.5703125" style="81" customWidth="1"/>
    <col min="5" max="5" width="6" style="81" bestFit="1" customWidth="1"/>
    <col min="6" max="6" width="6" style="81" customWidth="1"/>
    <col min="7" max="7" width="8" style="81" bestFit="1" customWidth="1"/>
    <col min="8" max="8" width="16.28515625" style="81" customWidth="1"/>
    <col min="9" max="9" width="11.140625" style="94" customWidth="1"/>
    <col min="10" max="10" width="9.7109375" style="81" hidden="1" customWidth="1"/>
    <col min="11" max="13" width="9.7109375" style="81" customWidth="1"/>
    <col min="14" max="14" width="16.85546875" style="81" customWidth="1"/>
    <col min="15" max="15" width="16" style="81" hidden="1" customWidth="1"/>
    <col min="16" max="16" width="16.7109375" style="81" hidden="1" customWidth="1"/>
    <col min="17" max="17" width="11.7109375" style="81" bestFit="1" customWidth="1"/>
    <col min="18" max="16384" width="9.140625" style="81"/>
  </cols>
  <sheetData>
    <row r="1" spans="1:18" ht="15.75">
      <c r="A1" s="563" t="s">
        <v>349</v>
      </c>
      <c r="B1" s="563"/>
      <c r="C1" s="563"/>
      <c r="D1" s="563"/>
      <c r="E1" s="563"/>
      <c r="F1" s="563"/>
      <c r="G1" s="563"/>
      <c r="H1" s="563"/>
      <c r="I1" s="563"/>
      <c r="J1" s="563"/>
      <c r="K1" s="563"/>
      <c r="L1" s="563"/>
      <c r="M1" s="563"/>
      <c r="N1" s="563"/>
      <c r="O1" s="58"/>
      <c r="P1" s="80"/>
    </row>
    <row r="2" spans="1:18" ht="18.75" customHeight="1">
      <c r="A2" s="566" t="s">
        <v>254</v>
      </c>
      <c r="B2" s="566"/>
      <c r="C2" s="566"/>
      <c r="D2" s="566"/>
      <c r="E2" s="566"/>
      <c r="F2" s="566"/>
      <c r="G2" s="566"/>
      <c r="H2" s="566"/>
      <c r="I2" s="479"/>
      <c r="J2" s="174"/>
      <c r="K2" s="174"/>
      <c r="L2" s="174"/>
      <c r="M2" s="174"/>
      <c r="N2" s="55" t="s">
        <v>88</v>
      </c>
      <c r="O2" s="58" t="s">
        <v>88</v>
      </c>
      <c r="P2" s="80"/>
    </row>
    <row r="3" spans="1:18" ht="12.75" customHeight="1">
      <c r="A3" s="82"/>
      <c r="B3" s="83"/>
      <c r="C3" s="83"/>
      <c r="D3" s="83"/>
      <c r="E3" s="84"/>
      <c r="F3" s="84"/>
      <c r="G3" s="84"/>
      <c r="H3" s="80"/>
      <c r="I3" s="91"/>
      <c r="J3" s="80"/>
      <c r="K3" s="80"/>
      <c r="L3" s="80"/>
      <c r="M3" s="80"/>
      <c r="N3" s="80"/>
      <c r="O3" s="80"/>
      <c r="P3" s="80"/>
    </row>
    <row r="4" spans="1:18" ht="35.25" customHeight="1">
      <c r="A4" s="561" t="s">
        <v>2</v>
      </c>
      <c r="B4" s="561" t="s">
        <v>15</v>
      </c>
      <c r="C4" s="564" t="s">
        <v>16</v>
      </c>
      <c r="D4" s="564"/>
      <c r="E4" s="564"/>
      <c r="F4" s="564"/>
      <c r="G4" s="564"/>
      <c r="H4" s="561" t="s">
        <v>17</v>
      </c>
      <c r="I4" s="561" t="s">
        <v>274</v>
      </c>
      <c r="J4" s="105"/>
      <c r="K4" s="564" t="s">
        <v>270</v>
      </c>
      <c r="L4" s="564" t="s">
        <v>269</v>
      </c>
      <c r="M4" s="564" t="s">
        <v>268</v>
      </c>
      <c r="N4" s="561" t="s">
        <v>18</v>
      </c>
      <c r="O4" s="99"/>
      <c r="P4" s="98"/>
    </row>
    <row r="5" spans="1:18" ht="36.75" customHeight="1">
      <c r="A5" s="562"/>
      <c r="B5" s="567"/>
      <c r="C5" s="109" t="s">
        <v>19</v>
      </c>
      <c r="D5" s="61" t="s">
        <v>39</v>
      </c>
      <c r="E5" s="61" t="s">
        <v>20</v>
      </c>
      <c r="F5" s="61" t="s">
        <v>38</v>
      </c>
      <c r="G5" s="109" t="s">
        <v>134</v>
      </c>
      <c r="H5" s="562"/>
      <c r="I5" s="562"/>
      <c r="J5" s="108"/>
      <c r="K5" s="565"/>
      <c r="L5" s="565"/>
      <c r="M5" s="565"/>
      <c r="N5" s="562"/>
      <c r="O5" s="100"/>
      <c r="P5" s="59" t="s">
        <v>6</v>
      </c>
      <c r="Q5" s="393"/>
      <c r="R5" s="393"/>
    </row>
    <row r="6" spans="1:18" ht="33.75" customHeight="1">
      <c r="A6" s="60" t="s">
        <v>7</v>
      </c>
      <c r="B6" s="60" t="s">
        <v>8</v>
      </c>
      <c r="C6" s="60" t="s">
        <v>9</v>
      </c>
      <c r="D6" s="60" t="s">
        <v>21</v>
      </c>
      <c r="E6" s="60" t="s">
        <v>22</v>
      </c>
      <c r="F6" s="60" t="s">
        <v>23</v>
      </c>
      <c r="G6" s="60" t="s">
        <v>24</v>
      </c>
      <c r="H6" s="60" t="s">
        <v>25</v>
      </c>
      <c r="I6" s="92" t="s">
        <v>26</v>
      </c>
      <c r="J6" s="60" t="s">
        <v>27</v>
      </c>
      <c r="K6" s="60" t="s">
        <v>271</v>
      </c>
      <c r="L6" s="60" t="s">
        <v>27</v>
      </c>
      <c r="M6" s="60" t="s">
        <v>272</v>
      </c>
      <c r="N6" s="61" t="s">
        <v>273</v>
      </c>
      <c r="O6" s="61" t="s">
        <v>28</v>
      </c>
      <c r="P6" s="61" t="s">
        <v>37</v>
      </c>
      <c r="Q6" s="393"/>
      <c r="R6" s="393"/>
    </row>
    <row r="7" spans="1:18" ht="32.25" customHeight="1">
      <c r="A7" s="473">
        <v>1</v>
      </c>
      <c r="B7" s="420" t="s">
        <v>298</v>
      </c>
      <c r="C7" s="62" t="s">
        <v>98</v>
      </c>
      <c r="D7" s="418"/>
      <c r="E7" s="418">
        <v>1</v>
      </c>
      <c r="F7" s="418"/>
      <c r="G7" s="418"/>
      <c r="H7" s="66">
        <f>212325*E7</f>
        <v>212325</v>
      </c>
      <c r="I7" s="426">
        <v>1.2</v>
      </c>
      <c r="J7" s="418"/>
      <c r="K7" s="424">
        <v>0.82</v>
      </c>
      <c r="L7" s="422">
        <v>1</v>
      </c>
      <c r="M7" s="424">
        <f>K7*L7</f>
        <v>0.82</v>
      </c>
      <c r="N7" s="425">
        <f t="shared" ref="N7:N15" si="0">ROUND((H7*I7*M7),0)</f>
        <v>208928</v>
      </c>
      <c r="O7" s="419"/>
      <c r="P7" s="419"/>
      <c r="Q7" s="393"/>
      <c r="R7" s="393"/>
    </row>
    <row r="8" spans="1:18" ht="30">
      <c r="A8" s="106">
        <v>2</v>
      </c>
      <c r="B8" s="75" t="s">
        <v>99</v>
      </c>
      <c r="C8" s="62" t="s">
        <v>98</v>
      </c>
      <c r="D8" s="421"/>
      <c r="E8" s="65">
        <v>1</v>
      </c>
      <c r="F8" s="65"/>
      <c r="G8" s="65"/>
      <c r="H8" s="66">
        <f>212325*E8</f>
        <v>212325</v>
      </c>
      <c r="I8" s="422">
        <v>5.35</v>
      </c>
      <c r="J8" s="423"/>
      <c r="K8" s="424">
        <v>0.82</v>
      </c>
      <c r="L8" s="422">
        <v>1</v>
      </c>
      <c r="M8" s="424">
        <f>K8*L8</f>
        <v>0.82</v>
      </c>
      <c r="N8" s="425">
        <f t="shared" si="0"/>
        <v>931470</v>
      </c>
      <c r="O8" s="95">
        <f>SUM(O9:O17)</f>
        <v>33032953</v>
      </c>
      <c r="P8" s="63" t="e">
        <f>SUM(P9:P17)</f>
        <v>#REF!</v>
      </c>
      <c r="Q8" s="393"/>
      <c r="R8" s="393"/>
    </row>
    <row r="9" spans="1:18" ht="35.1" customHeight="1">
      <c r="A9" s="106">
        <v>3</v>
      </c>
      <c r="B9" s="75" t="s">
        <v>100</v>
      </c>
      <c r="C9" s="62" t="s">
        <v>133</v>
      </c>
      <c r="D9" s="69"/>
      <c r="E9" s="65"/>
      <c r="F9" s="65">
        <v>1</v>
      </c>
      <c r="G9" s="65">
        <v>1</v>
      </c>
      <c r="H9" s="96">
        <f>(188969*F9)+(165614*G9)</f>
        <v>354583</v>
      </c>
      <c r="I9" s="102">
        <v>62.25</v>
      </c>
      <c r="J9" s="67"/>
      <c r="K9" s="222">
        <v>0.82</v>
      </c>
      <c r="L9" s="101">
        <v>1</v>
      </c>
      <c r="M9" s="222">
        <f>K9*L9</f>
        <v>0.82</v>
      </c>
      <c r="N9" s="178">
        <f t="shared" si="0"/>
        <v>18099689</v>
      </c>
      <c r="O9" s="68">
        <f t="shared" ref="O9:O24" si="1">ROUND(H9*I9,0)</f>
        <v>22072792</v>
      </c>
      <c r="P9" s="68" t="e">
        <f>ROUND(#REF!*J9,0)</f>
        <v>#REF!</v>
      </c>
      <c r="Q9" s="410">
        <f>N10+N16+N22</f>
        <v>18096780</v>
      </c>
      <c r="R9" s="393"/>
    </row>
    <row r="10" spans="1:18" ht="35.1" customHeight="1">
      <c r="A10" s="402" t="s">
        <v>40</v>
      </c>
      <c r="B10" s="404" t="s">
        <v>100</v>
      </c>
      <c r="C10" s="62" t="s">
        <v>133</v>
      </c>
      <c r="D10" s="69"/>
      <c r="E10" s="65"/>
      <c r="F10" s="65">
        <v>1</v>
      </c>
      <c r="G10" s="65">
        <v>1</v>
      </c>
      <c r="H10" s="96">
        <f t="shared" ref="H10:H27" si="2">(188969*F10)+(165614*G10)</f>
        <v>354583</v>
      </c>
      <c r="I10" s="102">
        <v>1.43</v>
      </c>
      <c r="J10" s="67"/>
      <c r="K10" s="222">
        <v>0.82</v>
      </c>
      <c r="L10" s="101">
        <v>1</v>
      </c>
      <c r="M10" s="222">
        <f t="shared" ref="M10:M57" si="3">K10*L10</f>
        <v>0.82</v>
      </c>
      <c r="N10" s="400">
        <f t="shared" si="0"/>
        <v>415784</v>
      </c>
      <c r="O10" s="68">
        <f t="shared" si="1"/>
        <v>507054</v>
      </c>
      <c r="P10" s="68" t="e">
        <f>ROUND(#REF!*J10,0)</f>
        <v>#REF!</v>
      </c>
      <c r="Q10" s="393"/>
      <c r="R10" s="393"/>
    </row>
    <row r="11" spans="1:18" ht="30">
      <c r="A11" s="402" t="s">
        <v>129</v>
      </c>
      <c r="B11" s="405" t="s">
        <v>225</v>
      </c>
      <c r="C11" s="62" t="s">
        <v>133</v>
      </c>
      <c r="D11" s="69"/>
      <c r="E11" s="65"/>
      <c r="F11" s="65">
        <v>1</v>
      </c>
      <c r="G11" s="65">
        <v>1</v>
      </c>
      <c r="H11" s="96">
        <f t="shared" si="2"/>
        <v>354583</v>
      </c>
      <c r="I11" s="102">
        <v>1.43</v>
      </c>
      <c r="J11" s="67"/>
      <c r="K11" s="222">
        <v>0.82</v>
      </c>
      <c r="L11" s="101">
        <v>1</v>
      </c>
      <c r="M11" s="222">
        <f t="shared" si="3"/>
        <v>0.82</v>
      </c>
      <c r="N11" s="400">
        <f t="shared" si="0"/>
        <v>415784</v>
      </c>
      <c r="O11" s="68"/>
      <c r="P11" s="68"/>
      <c r="Q11" s="393"/>
      <c r="R11" s="393"/>
    </row>
    <row r="12" spans="1:18" ht="30">
      <c r="A12" s="402" t="s">
        <v>130</v>
      </c>
      <c r="B12" s="405" t="s">
        <v>226</v>
      </c>
      <c r="C12" s="62" t="s">
        <v>133</v>
      </c>
      <c r="D12" s="69"/>
      <c r="E12" s="65"/>
      <c r="F12" s="65">
        <v>1</v>
      </c>
      <c r="G12" s="65">
        <v>1</v>
      </c>
      <c r="H12" s="96">
        <f t="shared" si="2"/>
        <v>354583</v>
      </c>
      <c r="I12" s="102">
        <v>1.43</v>
      </c>
      <c r="J12" s="67"/>
      <c r="K12" s="222">
        <v>0.82</v>
      </c>
      <c r="L12" s="101">
        <v>0.5</v>
      </c>
      <c r="M12" s="222">
        <f t="shared" si="3"/>
        <v>0.41</v>
      </c>
      <c r="N12" s="400">
        <f t="shared" si="0"/>
        <v>207892</v>
      </c>
      <c r="O12" s="68"/>
      <c r="P12" s="68"/>
      <c r="Q12" s="393"/>
      <c r="R12" s="393"/>
    </row>
    <row r="13" spans="1:18" ht="30">
      <c r="A13" s="402" t="s">
        <v>131</v>
      </c>
      <c r="B13" s="405" t="s">
        <v>227</v>
      </c>
      <c r="C13" s="62" t="s">
        <v>133</v>
      </c>
      <c r="D13" s="69"/>
      <c r="E13" s="65"/>
      <c r="F13" s="65">
        <v>1</v>
      </c>
      <c r="G13" s="65">
        <v>1</v>
      </c>
      <c r="H13" s="96">
        <f t="shared" si="2"/>
        <v>354583</v>
      </c>
      <c r="I13" s="102">
        <v>1.43</v>
      </c>
      <c r="J13" s="67"/>
      <c r="K13" s="222">
        <v>0.82</v>
      </c>
      <c r="L13" s="101">
        <v>0.6</v>
      </c>
      <c r="M13" s="222">
        <f t="shared" si="3"/>
        <v>0.49199999999999994</v>
      </c>
      <c r="N13" s="400">
        <f t="shared" si="0"/>
        <v>249470</v>
      </c>
      <c r="O13" s="68"/>
      <c r="P13" s="68"/>
      <c r="Q13" s="393"/>
      <c r="R13" s="393"/>
    </row>
    <row r="14" spans="1:18" ht="30">
      <c r="A14" s="402" t="s">
        <v>132</v>
      </c>
      <c r="B14" s="405" t="s">
        <v>228</v>
      </c>
      <c r="C14" s="62" t="s">
        <v>133</v>
      </c>
      <c r="D14" s="69"/>
      <c r="E14" s="65"/>
      <c r="F14" s="65">
        <v>1</v>
      </c>
      <c r="G14" s="65">
        <v>1</v>
      </c>
      <c r="H14" s="96">
        <f t="shared" si="2"/>
        <v>354583</v>
      </c>
      <c r="I14" s="102">
        <v>1.43</v>
      </c>
      <c r="J14" s="67"/>
      <c r="K14" s="222">
        <v>0.82</v>
      </c>
      <c r="L14" s="101">
        <v>0.7</v>
      </c>
      <c r="M14" s="222">
        <f t="shared" si="3"/>
        <v>0.57399999999999995</v>
      </c>
      <c r="N14" s="400">
        <f t="shared" si="0"/>
        <v>291049</v>
      </c>
      <c r="O14" s="68"/>
      <c r="P14" s="68"/>
      <c r="Q14" s="393"/>
      <c r="R14" s="393"/>
    </row>
    <row r="15" spans="1:18" ht="30">
      <c r="A15" s="402" t="s">
        <v>230</v>
      </c>
      <c r="B15" s="405" t="s">
        <v>229</v>
      </c>
      <c r="C15" s="62" t="s">
        <v>133</v>
      </c>
      <c r="D15" s="69"/>
      <c r="E15" s="65"/>
      <c r="F15" s="65">
        <v>1</v>
      </c>
      <c r="G15" s="65">
        <v>1</v>
      </c>
      <c r="H15" s="96">
        <f t="shared" si="2"/>
        <v>354583</v>
      </c>
      <c r="I15" s="102">
        <v>1.43</v>
      </c>
      <c r="J15" s="67"/>
      <c r="K15" s="222">
        <v>0.82</v>
      </c>
      <c r="L15" s="101">
        <v>0.5</v>
      </c>
      <c r="M15" s="222">
        <f t="shared" si="3"/>
        <v>0.41</v>
      </c>
      <c r="N15" s="400">
        <f t="shared" si="0"/>
        <v>207892</v>
      </c>
      <c r="O15" s="68"/>
      <c r="P15" s="68"/>
      <c r="Q15" s="393"/>
      <c r="R15" s="393"/>
    </row>
    <row r="16" spans="1:18" ht="35.1" customHeight="1">
      <c r="A16" s="402" t="s">
        <v>41</v>
      </c>
      <c r="B16" s="405" t="s">
        <v>102</v>
      </c>
      <c r="C16" s="62" t="s">
        <v>133</v>
      </c>
      <c r="D16" s="69"/>
      <c r="E16" s="65"/>
      <c r="F16" s="65">
        <v>1</v>
      </c>
      <c r="G16" s="65">
        <v>1</v>
      </c>
      <c r="H16" s="96">
        <f t="shared" si="2"/>
        <v>354583</v>
      </c>
      <c r="I16" s="102">
        <v>26.55</v>
      </c>
      <c r="J16" s="67"/>
      <c r="K16" s="223">
        <v>0.82</v>
      </c>
      <c r="L16" s="102">
        <v>1</v>
      </c>
      <c r="M16" s="222">
        <f t="shared" si="3"/>
        <v>0.82</v>
      </c>
      <c r="N16" s="400">
        <f>ROUND((H16*I16*M16),0)-1</f>
        <v>7719625</v>
      </c>
      <c r="O16" s="68">
        <f t="shared" si="1"/>
        <v>9414179</v>
      </c>
      <c r="P16" s="68" t="e">
        <f>ROUND(#REF!*J16,0)</f>
        <v>#REF!</v>
      </c>
      <c r="Q16" s="410">
        <f>SUM(N17:N21)</f>
        <v>7719626</v>
      </c>
      <c r="R16" s="393"/>
    </row>
    <row r="17" spans="1:18" ht="30">
      <c r="A17" s="402" t="s">
        <v>282</v>
      </c>
      <c r="B17" s="404" t="s">
        <v>103</v>
      </c>
      <c r="C17" s="62" t="s">
        <v>133</v>
      </c>
      <c r="D17" s="69"/>
      <c r="E17" s="65"/>
      <c r="F17" s="65">
        <v>1</v>
      </c>
      <c r="G17" s="65">
        <v>1</v>
      </c>
      <c r="H17" s="96">
        <f t="shared" si="2"/>
        <v>354583</v>
      </c>
      <c r="I17" s="102">
        <v>2.93</v>
      </c>
      <c r="J17" s="67"/>
      <c r="K17" s="223">
        <v>0.82</v>
      </c>
      <c r="L17" s="102">
        <v>1</v>
      </c>
      <c r="M17" s="222">
        <f t="shared" si="3"/>
        <v>0.82</v>
      </c>
      <c r="N17" s="400">
        <f t="shared" ref="N17:N33" si="4">ROUND((H17*I17*M17),0)</f>
        <v>851921</v>
      </c>
      <c r="O17" s="68">
        <f t="shared" si="1"/>
        <v>1038928</v>
      </c>
      <c r="P17" s="68" t="e">
        <f>ROUND(#REF!*J17,0)</f>
        <v>#REF!</v>
      </c>
      <c r="Q17" s="393"/>
      <c r="R17" s="393"/>
    </row>
    <row r="18" spans="1:18" ht="30">
      <c r="A18" s="402" t="s">
        <v>283</v>
      </c>
      <c r="B18" s="404" t="s">
        <v>104</v>
      </c>
      <c r="C18" s="62" t="s">
        <v>133</v>
      </c>
      <c r="D18" s="69"/>
      <c r="E18" s="65"/>
      <c r="F18" s="65">
        <v>1</v>
      </c>
      <c r="G18" s="65">
        <v>1</v>
      </c>
      <c r="H18" s="96">
        <f t="shared" si="2"/>
        <v>354583</v>
      </c>
      <c r="I18" s="102">
        <v>8.82</v>
      </c>
      <c r="J18" s="67"/>
      <c r="K18" s="223">
        <v>0.82</v>
      </c>
      <c r="L18" s="102">
        <v>1</v>
      </c>
      <c r="M18" s="222">
        <f t="shared" si="3"/>
        <v>0.82</v>
      </c>
      <c r="N18" s="400">
        <f t="shared" si="4"/>
        <v>2564486</v>
      </c>
      <c r="O18" s="68">
        <f t="shared" si="1"/>
        <v>3127422</v>
      </c>
      <c r="P18" s="68" t="e">
        <f>SUM(P19:P24)</f>
        <v>#REF!</v>
      </c>
      <c r="Q18" s="393"/>
      <c r="R18" s="393"/>
    </row>
    <row r="19" spans="1:18" ht="30">
      <c r="A19" s="402" t="s">
        <v>299</v>
      </c>
      <c r="B19" s="404" t="s">
        <v>105</v>
      </c>
      <c r="C19" s="62" t="s">
        <v>133</v>
      </c>
      <c r="D19" s="69"/>
      <c r="E19" s="65"/>
      <c r="F19" s="65">
        <v>1</v>
      </c>
      <c r="G19" s="65">
        <v>1</v>
      </c>
      <c r="H19" s="96">
        <f t="shared" si="2"/>
        <v>354583</v>
      </c>
      <c r="I19" s="102">
        <v>11.22</v>
      </c>
      <c r="J19" s="67"/>
      <c r="K19" s="223">
        <v>0.82</v>
      </c>
      <c r="L19" s="102">
        <v>1</v>
      </c>
      <c r="M19" s="222">
        <f t="shared" si="3"/>
        <v>0.82</v>
      </c>
      <c r="N19" s="400">
        <f t="shared" si="4"/>
        <v>3262305</v>
      </c>
      <c r="O19" s="68">
        <f t="shared" si="1"/>
        <v>3978421</v>
      </c>
      <c r="P19" s="68" t="e">
        <f>ROUND(#REF!*J19,0)</f>
        <v>#REF!</v>
      </c>
      <c r="Q19" s="393"/>
      <c r="R19" s="393"/>
    </row>
    <row r="20" spans="1:18" s="85" customFormat="1" ht="30">
      <c r="A20" s="402" t="s">
        <v>300</v>
      </c>
      <c r="B20" s="406" t="s">
        <v>106</v>
      </c>
      <c r="C20" s="62" t="s">
        <v>133</v>
      </c>
      <c r="D20" s="70"/>
      <c r="E20" s="71"/>
      <c r="F20" s="65">
        <v>1</v>
      </c>
      <c r="G20" s="65">
        <v>1</v>
      </c>
      <c r="H20" s="96">
        <f t="shared" si="2"/>
        <v>354583</v>
      </c>
      <c r="I20" s="103">
        <v>1.79</v>
      </c>
      <c r="J20" s="72"/>
      <c r="K20" s="223">
        <v>0.82</v>
      </c>
      <c r="L20" s="102">
        <v>1</v>
      </c>
      <c r="M20" s="222">
        <f t="shared" si="3"/>
        <v>0.82</v>
      </c>
      <c r="N20" s="400">
        <f t="shared" si="4"/>
        <v>520457</v>
      </c>
      <c r="O20" s="73">
        <f t="shared" si="1"/>
        <v>634704</v>
      </c>
      <c r="P20" s="73" t="e">
        <f>ROUND(#REF!*J20,0)</f>
        <v>#REF!</v>
      </c>
      <c r="Q20" s="393"/>
      <c r="R20" s="411"/>
    </row>
    <row r="21" spans="1:18" ht="30">
      <c r="A21" s="402" t="s">
        <v>301</v>
      </c>
      <c r="B21" s="404" t="s">
        <v>107</v>
      </c>
      <c r="C21" s="62" t="s">
        <v>133</v>
      </c>
      <c r="D21" s="69"/>
      <c r="E21" s="65"/>
      <c r="F21" s="65">
        <v>1</v>
      </c>
      <c r="G21" s="65">
        <v>1</v>
      </c>
      <c r="H21" s="96">
        <f t="shared" si="2"/>
        <v>354583</v>
      </c>
      <c r="I21" s="102">
        <v>1.79</v>
      </c>
      <c r="J21" s="67"/>
      <c r="K21" s="223">
        <v>0.82</v>
      </c>
      <c r="L21" s="102">
        <v>1</v>
      </c>
      <c r="M21" s="222">
        <f t="shared" si="3"/>
        <v>0.82</v>
      </c>
      <c r="N21" s="400">
        <f t="shared" si="4"/>
        <v>520457</v>
      </c>
      <c r="O21" s="68">
        <f t="shared" si="1"/>
        <v>634704</v>
      </c>
      <c r="P21" s="68" t="e">
        <f>ROUND(#REF!*J21,0)</f>
        <v>#REF!</v>
      </c>
      <c r="Q21" s="393"/>
      <c r="R21" s="393"/>
    </row>
    <row r="22" spans="1:18" ht="30">
      <c r="A22" s="402" t="s">
        <v>162</v>
      </c>
      <c r="B22" s="404" t="s">
        <v>108</v>
      </c>
      <c r="C22" s="62" t="s">
        <v>133</v>
      </c>
      <c r="D22" s="69"/>
      <c r="E22" s="65"/>
      <c r="F22" s="65">
        <v>1</v>
      </c>
      <c r="G22" s="65">
        <v>1</v>
      </c>
      <c r="H22" s="96">
        <f t="shared" si="2"/>
        <v>354583</v>
      </c>
      <c r="I22" s="102">
        <v>34.26</v>
      </c>
      <c r="J22" s="67"/>
      <c r="K22" s="223">
        <v>0.82</v>
      </c>
      <c r="L22" s="102">
        <v>1</v>
      </c>
      <c r="M22" s="222">
        <f t="shared" si="3"/>
        <v>0.82</v>
      </c>
      <c r="N22" s="400">
        <f t="shared" si="4"/>
        <v>9961371</v>
      </c>
      <c r="O22" s="68">
        <f t="shared" si="1"/>
        <v>12148014</v>
      </c>
      <c r="P22" s="68" t="e">
        <f>ROUND(#REF!*J22,0)</f>
        <v>#REF!</v>
      </c>
      <c r="Q22" s="410">
        <f>SUM(N23:N27)</f>
        <v>9961371</v>
      </c>
      <c r="R22" s="393"/>
    </row>
    <row r="23" spans="1:18" ht="30">
      <c r="A23" s="402" t="s">
        <v>302</v>
      </c>
      <c r="B23" s="404" t="s">
        <v>103</v>
      </c>
      <c r="C23" s="62" t="s">
        <v>133</v>
      </c>
      <c r="D23" s="69"/>
      <c r="E23" s="65"/>
      <c r="F23" s="65">
        <v>1</v>
      </c>
      <c r="G23" s="65">
        <v>1</v>
      </c>
      <c r="H23" s="96">
        <f t="shared" si="2"/>
        <v>354583</v>
      </c>
      <c r="I23" s="102">
        <v>4.6500000000000004</v>
      </c>
      <c r="J23" s="67"/>
      <c r="K23" s="223">
        <v>0.82</v>
      </c>
      <c r="L23" s="102">
        <v>1</v>
      </c>
      <c r="M23" s="222">
        <f t="shared" si="3"/>
        <v>0.82</v>
      </c>
      <c r="N23" s="400">
        <f t="shared" si="4"/>
        <v>1352025</v>
      </c>
      <c r="O23" s="68">
        <f t="shared" si="1"/>
        <v>1648811</v>
      </c>
      <c r="P23" s="68" t="e">
        <f>ROUND(#REF!*J23,0)</f>
        <v>#REF!</v>
      </c>
      <c r="Q23" s="393"/>
      <c r="R23" s="393"/>
    </row>
    <row r="24" spans="1:18" ht="39.950000000000003" customHeight="1">
      <c r="A24" s="402" t="s">
        <v>303</v>
      </c>
      <c r="B24" s="404" t="s">
        <v>104</v>
      </c>
      <c r="C24" s="62" t="s">
        <v>133</v>
      </c>
      <c r="D24" s="69"/>
      <c r="E24" s="65"/>
      <c r="F24" s="65">
        <v>1</v>
      </c>
      <c r="G24" s="65">
        <v>1</v>
      </c>
      <c r="H24" s="96">
        <f t="shared" si="2"/>
        <v>354583</v>
      </c>
      <c r="I24" s="102">
        <v>10.6</v>
      </c>
      <c r="J24" s="67"/>
      <c r="K24" s="223">
        <v>0.82</v>
      </c>
      <c r="L24" s="102">
        <v>1</v>
      </c>
      <c r="M24" s="222">
        <f t="shared" si="3"/>
        <v>0.82</v>
      </c>
      <c r="N24" s="400">
        <f t="shared" si="4"/>
        <v>3082035</v>
      </c>
      <c r="O24" s="68">
        <f t="shared" si="1"/>
        <v>3758580</v>
      </c>
      <c r="P24" s="68" t="e">
        <f>ROUND(#REF!*J24,0)</f>
        <v>#REF!</v>
      </c>
      <c r="Q24" s="393"/>
      <c r="R24" s="393"/>
    </row>
    <row r="25" spans="1:18" ht="39.950000000000003" customHeight="1">
      <c r="A25" s="402" t="s">
        <v>304</v>
      </c>
      <c r="B25" s="404" t="s">
        <v>105</v>
      </c>
      <c r="C25" s="62" t="s">
        <v>133</v>
      </c>
      <c r="D25" s="69"/>
      <c r="E25" s="65"/>
      <c r="F25" s="65">
        <v>1</v>
      </c>
      <c r="G25" s="65">
        <v>1</v>
      </c>
      <c r="H25" s="96">
        <f t="shared" si="2"/>
        <v>354583</v>
      </c>
      <c r="I25" s="102">
        <v>13.05</v>
      </c>
      <c r="J25" s="67"/>
      <c r="K25" s="223">
        <v>0.82</v>
      </c>
      <c r="L25" s="102">
        <v>1</v>
      </c>
      <c r="M25" s="222">
        <f t="shared" si="3"/>
        <v>0.82</v>
      </c>
      <c r="N25" s="400">
        <f t="shared" si="4"/>
        <v>3794393</v>
      </c>
      <c r="O25" s="68">
        <f>SUM(O26:O27)</f>
        <v>2113314</v>
      </c>
      <c r="P25" s="74" t="e">
        <f>SUM(P26:P27)</f>
        <v>#REF!</v>
      </c>
      <c r="Q25" s="393"/>
      <c r="R25" s="393"/>
    </row>
    <row r="26" spans="1:18" ht="39.950000000000003" customHeight="1">
      <c r="A26" s="402" t="s">
        <v>304</v>
      </c>
      <c r="B26" s="404" t="s">
        <v>106</v>
      </c>
      <c r="C26" s="62" t="s">
        <v>133</v>
      </c>
      <c r="D26" s="69"/>
      <c r="E26" s="65"/>
      <c r="F26" s="65">
        <v>1</v>
      </c>
      <c r="G26" s="65">
        <v>1</v>
      </c>
      <c r="H26" s="96">
        <f t="shared" si="2"/>
        <v>354583</v>
      </c>
      <c r="I26" s="102">
        <v>2.98</v>
      </c>
      <c r="J26" s="67"/>
      <c r="K26" s="223">
        <v>0.82</v>
      </c>
      <c r="L26" s="102">
        <v>1</v>
      </c>
      <c r="M26" s="222">
        <f t="shared" si="3"/>
        <v>0.82</v>
      </c>
      <c r="N26" s="400">
        <f t="shared" si="4"/>
        <v>866459</v>
      </c>
      <c r="O26" s="68">
        <f>ROUND(H26*I26,0)</f>
        <v>1056657</v>
      </c>
      <c r="P26" s="68" t="e">
        <f>ROUND(#REF!*J26,0)</f>
        <v>#REF!</v>
      </c>
      <c r="Q26" s="393"/>
      <c r="R26" s="393"/>
    </row>
    <row r="27" spans="1:18" ht="39.950000000000003" customHeight="1">
      <c r="A27" s="402" t="s">
        <v>305</v>
      </c>
      <c r="B27" s="404" t="s">
        <v>107</v>
      </c>
      <c r="C27" s="62" t="s">
        <v>133</v>
      </c>
      <c r="D27" s="69"/>
      <c r="E27" s="65"/>
      <c r="F27" s="65">
        <v>1</v>
      </c>
      <c r="G27" s="65">
        <v>1</v>
      </c>
      <c r="H27" s="96">
        <f t="shared" si="2"/>
        <v>354583</v>
      </c>
      <c r="I27" s="102">
        <v>2.98</v>
      </c>
      <c r="J27" s="67"/>
      <c r="K27" s="223">
        <v>0.82</v>
      </c>
      <c r="L27" s="102">
        <v>1</v>
      </c>
      <c r="M27" s="222">
        <f t="shared" si="3"/>
        <v>0.82</v>
      </c>
      <c r="N27" s="400">
        <f t="shared" si="4"/>
        <v>866459</v>
      </c>
      <c r="O27" s="68">
        <f>ROUND(H27*I27,0)</f>
        <v>1056657</v>
      </c>
      <c r="P27" s="68" t="e">
        <f>ROUND(#REF!*J27,0)</f>
        <v>#REF!</v>
      </c>
      <c r="Q27" s="393"/>
      <c r="R27" s="393"/>
    </row>
    <row r="28" spans="1:18" ht="30">
      <c r="A28" s="106">
        <v>4</v>
      </c>
      <c r="B28" s="75" t="s">
        <v>109</v>
      </c>
      <c r="C28" s="62" t="s">
        <v>135</v>
      </c>
      <c r="D28" s="69">
        <v>1</v>
      </c>
      <c r="E28" s="65"/>
      <c r="F28" s="65">
        <v>2</v>
      </c>
      <c r="G28" s="65"/>
      <c r="H28" s="96">
        <f>(235681*D28)+(188969*F28)</f>
        <v>613619</v>
      </c>
      <c r="I28" s="102">
        <v>255</v>
      </c>
      <c r="J28" s="67"/>
      <c r="K28" s="223">
        <v>0.82</v>
      </c>
      <c r="L28" s="102">
        <v>1</v>
      </c>
      <c r="M28" s="222">
        <f t="shared" si="3"/>
        <v>0.82</v>
      </c>
      <c r="N28" s="178">
        <f t="shared" si="4"/>
        <v>128307733</v>
      </c>
      <c r="O28" s="68">
        <f>SUM(O29:O30)</f>
        <v>156571024</v>
      </c>
      <c r="P28" s="74" t="e">
        <f>SUM(P29:P30)</f>
        <v>#REF!</v>
      </c>
      <c r="Q28" s="410">
        <f>N29+N52</f>
        <v>128307733</v>
      </c>
      <c r="R28" s="393"/>
    </row>
    <row r="29" spans="1:18" ht="36" customHeight="1">
      <c r="A29" s="402" t="s">
        <v>42</v>
      </c>
      <c r="B29" s="404" t="s">
        <v>110</v>
      </c>
      <c r="C29" s="62" t="s">
        <v>135</v>
      </c>
      <c r="D29" s="69">
        <v>1</v>
      </c>
      <c r="E29" s="65"/>
      <c r="F29" s="65">
        <v>2</v>
      </c>
      <c r="G29" s="65"/>
      <c r="H29" s="96">
        <f t="shared" ref="H29:H57" si="5">(235681*D29)+(188969*F29)</f>
        <v>613619</v>
      </c>
      <c r="I29" s="102">
        <v>230</v>
      </c>
      <c r="J29" s="67"/>
      <c r="K29" s="223">
        <v>0.82</v>
      </c>
      <c r="L29" s="102">
        <v>1</v>
      </c>
      <c r="M29" s="222">
        <f t="shared" si="3"/>
        <v>0.82</v>
      </c>
      <c r="N29" s="400">
        <f>ROUND((H29*I29*M29),0)</f>
        <v>115728543</v>
      </c>
      <c r="O29" s="68">
        <f>ROUND(H29*I29,0)</f>
        <v>141132370</v>
      </c>
      <c r="P29" s="68" t="e">
        <f>ROUND(#REF!*J29,0)</f>
        <v>#REF!</v>
      </c>
      <c r="Q29" s="410" t="e">
        <f>N30+N33+N38+N42+N46+N49+#REF!+#REF!+#REF!+#REF!+#REF!+#REF!+#REF!+#REF!+#REF!+#REF!+#REF!+#REF!+#REF!+#REF!</f>
        <v>#REF!</v>
      </c>
      <c r="R29" s="393"/>
    </row>
    <row r="30" spans="1:18" ht="30">
      <c r="A30" s="402" t="s">
        <v>306</v>
      </c>
      <c r="B30" s="404" t="s">
        <v>307</v>
      </c>
      <c r="C30" s="62" t="s">
        <v>135</v>
      </c>
      <c r="D30" s="69">
        <v>1</v>
      </c>
      <c r="E30" s="65"/>
      <c r="F30" s="65">
        <v>2</v>
      </c>
      <c r="G30" s="65"/>
      <c r="H30" s="96">
        <f t="shared" si="5"/>
        <v>613619</v>
      </c>
      <c r="I30" s="102">
        <v>25.16</v>
      </c>
      <c r="J30" s="67"/>
      <c r="K30" s="223">
        <v>0.82</v>
      </c>
      <c r="L30" s="102">
        <v>1</v>
      </c>
      <c r="M30" s="222">
        <f t="shared" si="3"/>
        <v>0.82</v>
      </c>
      <c r="N30" s="400">
        <f t="shared" si="4"/>
        <v>12659696</v>
      </c>
      <c r="O30" s="68">
        <f>ROUND(H30*I30,0)</f>
        <v>15438654</v>
      </c>
      <c r="P30" s="68" t="e">
        <f>ROUND(#REF!*J30,0)</f>
        <v>#REF!</v>
      </c>
      <c r="Q30" s="410" t="e">
        <f>N31+N32+#REF!</f>
        <v>#REF!</v>
      </c>
      <c r="R30" s="393"/>
    </row>
    <row r="31" spans="1:18" ht="30">
      <c r="A31" s="107" t="s">
        <v>129</v>
      </c>
      <c r="B31" s="64" t="s">
        <v>308</v>
      </c>
      <c r="C31" s="62" t="s">
        <v>135</v>
      </c>
      <c r="D31" s="69">
        <v>1</v>
      </c>
      <c r="E31" s="65"/>
      <c r="F31" s="65">
        <v>2</v>
      </c>
      <c r="G31" s="65"/>
      <c r="H31" s="96">
        <f t="shared" si="5"/>
        <v>613619</v>
      </c>
      <c r="I31" s="102">
        <v>1.73</v>
      </c>
      <c r="J31" s="67"/>
      <c r="K31" s="223">
        <v>0.82</v>
      </c>
      <c r="L31" s="102">
        <v>1</v>
      </c>
      <c r="M31" s="222">
        <f t="shared" si="3"/>
        <v>0.82</v>
      </c>
      <c r="N31" s="400">
        <f t="shared" si="4"/>
        <v>870480</v>
      </c>
      <c r="O31" s="68" t="e">
        <f>O32+#REF!+#REF!</f>
        <v>#REF!</v>
      </c>
      <c r="P31" s="74" t="e">
        <f>P32+#REF!+#REF!</f>
        <v>#REF!</v>
      </c>
      <c r="Q31" s="410">
        <f>N31</f>
        <v>870480</v>
      </c>
      <c r="R31" s="393"/>
    </row>
    <row r="32" spans="1:18" ht="30">
      <c r="A32" s="107" t="s">
        <v>130</v>
      </c>
      <c r="B32" s="64" t="s">
        <v>309</v>
      </c>
      <c r="C32" s="62" t="s">
        <v>135</v>
      </c>
      <c r="D32" s="69">
        <v>1</v>
      </c>
      <c r="E32" s="65"/>
      <c r="F32" s="65">
        <v>2</v>
      </c>
      <c r="G32" s="65"/>
      <c r="H32" s="96">
        <f t="shared" si="5"/>
        <v>613619</v>
      </c>
      <c r="I32" s="102">
        <v>23.43</v>
      </c>
      <c r="J32" s="67"/>
      <c r="K32" s="223">
        <v>0.82</v>
      </c>
      <c r="L32" s="102">
        <v>1</v>
      </c>
      <c r="M32" s="222">
        <f t="shared" si="3"/>
        <v>0.82</v>
      </c>
      <c r="N32" s="400">
        <f t="shared" si="4"/>
        <v>11789216</v>
      </c>
      <c r="O32" s="68" t="e">
        <f>SUM(#REF!)</f>
        <v>#REF!</v>
      </c>
      <c r="P32" s="68" t="e">
        <f>SUM(#REF!)</f>
        <v>#REF!</v>
      </c>
      <c r="Q32" s="410" t="e">
        <f>#REF!+#REF!</f>
        <v>#REF!</v>
      </c>
      <c r="R32" s="393"/>
    </row>
    <row r="33" spans="1:18" s="86" customFormat="1" ht="30" customHeight="1">
      <c r="A33" s="402" t="s">
        <v>310</v>
      </c>
      <c r="B33" s="404" t="s">
        <v>311</v>
      </c>
      <c r="C33" s="62" t="s">
        <v>135</v>
      </c>
      <c r="D33" s="69">
        <v>1</v>
      </c>
      <c r="E33" s="76"/>
      <c r="F33" s="65">
        <v>2</v>
      </c>
      <c r="G33" s="76"/>
      <c r="H33" s="96">
        <f t="shared" si="5"/>
        <v>613619</v>
      </c>
      <c r="I33" s="102">
        <v>52.13</v>
      </c>
      <c r="J33" s="77"/>
      <c r="K33" s="223">
        <v>0.82</v>
      </c>
      <c r="L33" s="102">
        <v>1</v>
      </c>
      <c r="M33" s="222">
        <f t="shared" si="3"/>
        <v>0.82</v>
      </c>
      <c r="N33" s="400">
        <f t="shared" si="4"/>
        <v>26230126</v>
      </c>
      <c r="O33" s="68">
        <f>ROUND(H33*I33,0)</f>
        <v>31987958</v>
      </c>
      <c r="P33" s="74" t="e">
        <f>ROUND(#REF!*J33,0)</f>
        <v>#REF!</v>
      </c>
      <c r="Q33" s="393"/>
      <c r="R33" s="409"/>
    </row>
    <row r="34" spans="1:18" s="86" customFormat="1" ht="31.5" customHeight="1">
      <c r="A34" s="402" t="s">
        <v>129</v>
      </c>
      <c r="B34" s="404" t="s">
        <v>312</v>
      </c>
      <c r="C34" s="62" t="s">
        <v>135</v>
      </c>
      <c r="D34" s="69">
        <v>1</v>
      </c>
      <c r="E34" s="76"/>
      <c r="F34" s="65">
        <v>2</v>
      </c>
      <c r="G34" s="76"/>
      <c r="H34" s="96">
        <f t="shared" si="5"/>
        <v>613619</v>
      </c>
      <c r="I34" s="102">
        <v>7.28</v>
      </c>
      <c r="J34" s="77"/>
      <c r="K34" s="223">
        <v>0.82</v>
      </c>
      <c r="L34" s="102">
        <v>1</v>
      </c>
      <c r="M34" s="222">
        <f t="shared" si="3"/>
        <v>0.82</v>
      </c>
      <c r="N34" s="400">
        <f t="shared" ref="N34:N60" si="6">ROUND((H34*I34*M34),0)</f>
        <v>3663060</v>
      </c>
      <c r="O34" s="68"/>
      <c r="P34" s="74"/>
      <c r="Q34" s="393"/>
      <c r="R34" s="409"/>
    </row>
    <row r="35" spans="1:18" s="86" customFormat="1" ht="33" customHeight="1">
      <c r="A35" s="402" t="s">
        <v>130</v>
      </c>
      <c r="B35" s="404" t="s">
        <v>313</v>
      </c>
      <c r="C35" s="62" t="s">
        <v>135</v>
      </c>
      <c r="D35" s="69">
        <v>1</v>
      </c>
      <c r="E35" s="76"/>
      <c r="F35" s="65">
        <v>2</v>
      </c>
      <c r="G35" s="76"/>
      <c r="H35" s="96">
        <f t="shared" si="5"/>
        <v>613619</v>
      </c>
      <c r="I35" s="102">
        <v>7.88</v>
      </c>
      <c r="J35" s="77"/>
      <c r="K35" s="223">
        <v>0.82</v>
      </c>
      <c r="L35" s="102">
        <v>1</v>
      </c>
      <c r="M35" s="222">
        <f t="shared" si="3"/>
        <v>0.82</v>
      </c>
      <c r="N35" s="400">
        <f t="shared" si="6"/>
        <v>3964961</v>
      </c>
      <c r="O35" s="68"/>
      <c r="P35" s="74"/>
      <c r="Q35" s="393"/>
      <c r="R35" s="409"/>
    </row>
    <row r="36" spans="1:18" s="86" customFormat="1" ht="33" customHeight="1">
      <c r="A36" s="402" t="s">
        <v>131</v>
      </c>
      <c r="B36" s="404" t="s">
        <v>314</v>
      </c>
      <c r="C36" s="62" t="s">
        <v>135</v>
      </c>
      <c r="D36" s="69">
        <v>1</v>
      </c>
      <c r="E36" s="76"/>
      <c r="F36" s="65">
        <v>2</v>
      </c>
      <c r="G36" s="76"/>
      <c r="H36" s="96">
        <f t="shared" si="5"/>
        <v>613619</v>
      </c>
      <c r="I36" s="102">
        <v>19.27</v>
      </c>
      <c r="J36" s="77"/>
      <c r="K36" s="223">
        <v>0.82</v>
      </c>
      <c r="L36" s="102">
        <v>1</v>
      </c>
      <c r="M36" s="222">
        <f t="shared" si="3"/>
        <v>0.82</v>
      </c>
      <c r="N36" s="400">
        <f t="shared" si="6"/>
        <v>9696039</v>
      </c>
      <c r="O36" s="68"/>
      <c r="P36" s="74"/>
      <c r="Q36" s="393"/>
      <c r="R36" s="409"/>
    </row>
    <row r="37" spans="1:18" s="86" customFormat="1" ht="30">
      <c r="A37" s="402" t="s">
        <v>132</v>
      </c>
      <c r="B37" s="404" t="s">
        <v>315</v>
      </c>
      <c r="C37" s="62" t="s">
        <v>135</v>
      </c>
      <c r="D37" s="69">
        <v>1</v>
      </c>
      <c r="E37" s="76"/>
      <c r="F37" s="65">
        <v>2</v>
      </c>
      <c r="G37" s="76"/>
      <c r="H37" s="96">
        <f t="shared" si="5"/>
        <v>613619</v>
      </c>
      <c r="I37" s="102">
        <v>17.7</v>
      </c>
      <c r="J37" s="77"/>
      <c r="K37" s="223">
        <v>0.82</v>
      </c>
      <c r="L37" s="102">
        <v>1</v>
      </c>
      <c r="M37" s="222">
        <f t="shared" si="3"/>
        <v>0.82</v>
      </c>
      <c r="N37" s="400">
        <f t="shared" si="6"/>
        <v>8906066</v>
      </c>
      <c r="O37" s="68"/>
      <c r="P37" s="74"/>
      <c r="Q37" s="393"/>
      <c r="R37" s="409"/>
    </row>
    <row r="38" spans="1:18" s="86" customFormat="1" ht="30">
      <c r="A38" s="402" t="s">
        <v>320</v>
      </c>
      <c r="B38" s="404" t="s">
        <v>321</v>
      </c>
      <c r="C38" s="62" t="s">
        <v>135</v>
      </c>
      <c r="D38" s="69">
        <v>1</v>
      </c>
      <c r="E38" s="76"/>
      <c r="F38" s="65">
        <v>2</v>
      </c>
      <c r="G38" s="76"/>
      <c r="H38" s="96">
        <f t="shared" si="5"/>
        <v>613619</v>
      </c>
      <c r="I38" s="102">
        <v>108</v>
      </c>
      <c r="J38" s="77"/>
      <c r="K38" s="223">
        <v>0.82</v>
      </c>
      <c r="L38" s="102">
        <v>1</v>
      </c>
      <c r="M38" s="222">
        <f t="shared" si="3"/>
        <v>0.82</v>
      </c>
      <c r="N38" s="400">
        <f t="shared" si="6"/>
        <v>54342099</v>
      </c>
      <c r="O38" s="68">
        <f>ROUND(H38*I38,0)</f>
        <v>66270852</v>
      </c>
      <c r="P38" s="74" t="e">
        <f>ROUND(#REF!*J38,0)</f>
        <v>#REF!</v>
      </c>
      <c r="Q38" s="393"/>
      <c r="R38" s="409"/>
    </row>
    <row r="39" spans="1:18" s="86" customFormat="1" ht="30">
      <c r="A39" s="402" t="s">
        <v>129</v>
      </c>
      <c r="B39" s="404" t="s">
        <v>322</v>
      </c>
      <c r="C39" s="62" t="s">
        <v>135</v>
      </c>
      <c r="D39" s="69">
        <v>1</v>
      </c>
      <c r="E39" s="76"/>
      <c r="F39" s="65">
        <v>2</v>
      </c>
      <c r="G39" s="76"/>
      <c r="H39" s="96">
        <f t="shared" si="5"/>
        <v>613619</v>
      </c>
      <c r="I39" s="102">
        <v>39.1</v>
      </c>
      <c r="J39" s="77"/>
      <c r="K39" s="223">
        <v>0.82</v>
      </c>
      <c r="L39" s="102">
        <v>1</v>
      </c>
      <c r="M39" s="222">
        <f t="shared" si="3"/>
        <v>0.82</v>
      </c>
      <c r="N39" s="400">
        <f t="shared" si="6"/>
        <v>19673852</v>
      </c>
      <c r="O39" s="427"/>
      <c r="P39" s="97"/>
      <c r="Q39" s="393"/>
      <c r="R39" s="409"/>
    </row>
    <row r="40" spans="1:18" s="86" customFormat="1" ht="30">
      <c r="A40" s="402" t="s">
        <v>130</v>
      </c>
      <c r="B40" s="404" t="s">
        <v>323</v>
      </c>
      <c r="C40" s="62" t="s">
        <v>135</v>
      </c>
      <c r="D40" s="69">
        <v>1</v>
      </c>
      <c r="E40" s="76"/>
      <c r="F40" s="65">
        <v>2</v>
      </c>
      <c r="G40" s="76"/>
      <c r="H40" s="96">
        <f t="shared" si="5"/>
        <v>613619</v>
      </c>
      <c r="I40" s="102">
        <v>30.2</v>
      </c>
      <c r="J40" s="77"/>
      <c r="K40" s="223">
        <v>0.82</v>
      </c>
      <c r="L40" s="102">
        <v>1</v>
      </c>
      <c r="M40" s="222">
        <f t="shared" si="3"/>
        <v>0.82</v>
      </c>
      <c r="N40" s="400">
        <f t="shared" si="6"/>
        <v>15195661</v>
      </c>
      <c r="O40" s="427"/>
      <c r="P40" s="97"/>
      <c r="Q40" s="393"/>
      <c r="R40" s="409"/>
    </row>
    <row r="41" spans="1:18" s="86" customFormat="1" ht="30">
      <c r="A41" s="402" t="s">
        <v>131</v>
      </c>
      <c r="B41" s="404" t="s">
        <v>324</v>
      </c>
      <c r="C41" s="62" t="s">
        <v>135</v>
      </c>
      <c r="D41" s="69">
        <v>1</v>
      </c>
      <c r="E41" s="76"/>
      <c r="F41" s="65">
        <v>2</v>
      </c>
      <c r="G41" s="76"/>
      <c r="H41" s="96">
        <f t="shared" si="5"/>
        <v>613619</v>
      </c>
      <c r="I41" s="102">
        <v>38.700000000000003</v>
      </c>
      <c r="J41" s="77"/>
      <c r="K41" s="223">
        <v>0.82</v>
      </c>
      <c r="L41" s="102">
        <v>1</v>
      </c>
      <c r="M41" s="222">
        <f t="shared" si="3"/>
        <v>0.82</v>
      </c>
      <c r="N41" s="400">
        <f t="shared" si="6"/>
        <v>19472585</v>
      </c>
      <c r="O41" s="427"/>
      <c r="P41" s="97"/>
      <c r="Q41" s="393"/>
      <c r="R41" s="409"/>
    </row>
    <row r="42" spans="1:18" s="86" customFormat="1" ht="30">
      <c r="A42" s="402" t="s">
        <v>316</v>
      </c>
      <c r="B42" s="404" t="s">
        <v>317</v>
      </c>
      <c r="C42" s="62" t="s">
        <v>135</v>
      </c>
      <c r="D42" s="69">
        <v>1</v>
      </c>
      <c r="E42" s="76"/>
      <c r="F42" s="65">
        <v>2</v>
      </c>
      <c r="G42" s="76"/>
      <c r="H42" s="96">
        <f t="shared" si="5"/>
        <v>613619</v>
      </c>
      <c r="I42" s="102">
        <v>11.7</v>
      </c>
      <c r="J42" s="77"/>
      <c r="K42" s="223">
        <v>0.82</v>
      </c>
      <c r="L42" s="102">
        <v>1</v>
      </c>
      <c r="M42" s="222">
        <f t="shared" si="3"/>
        <v>0.82</v>
      </c>
      <c r="N42" s="400">
        <f t="shared" si="6"/>
        <v>5887061</v>
      </c>
      <c r="O42" s="97"/>
      <c r="P42" s="97"/>
      <c r="Q42" s="393"/>
      <c r="R42" s="409"/>
    </row>
    <row r="43" spans="1:18" s="86" customFormat="1" ht="30">
      <c r="A43" s="402" t="s">
        <v>129</v>
      </c>
      <c r="B43" s="404" t="s">
        <v>318</v>
      </c>
      <c r="C43" s="62" t="s">
        <v>135</v>
      </c>
      <c r="D43" s="69">
        <v>1</v>
      </c>
      <c r="E43" s="76"/>
      <c r="F43" s="65">
        <v>2</v>
      </c>
      <c r="G43" s="76"/>
      <c r="H43" s="96">
        <f t="shared" si="5"/>
        <v>613619</v>
      </c>
      <c r="I43" s="102">
        <v>7.56</v>
      </c>
      <c r="J43" s="77"/>
      <c r="K43" s="223">
        <v>0.82</v>
      </c>
      <c r="L43" s="102">
        <v>1</v>
      </c>
      <c r="M43" s="222">
        <f t="shared" si="3"/>
        <v>0.82</v>
      </c>
      <c r="N43" s="400">
        <f t="shared" si="6"/>
        <v>3803947</v>
      </c>
      <c r="O43" s="97"/>
      <c r="P43" s="97"/>
      <c r="Q43" s="393"/>
      <c r="R43" s="409"/>
    </row>
    <row r="44" spans="1:18" s="86" customFormat="1" ht="30">
      <c r="A44" s="402" t="s">
        <v>130</v>
      </c>
      <c r="B44" s="404" t="s">
        <v>309</v>
      </c>
      <c r="C44" s="62" t="s">
        <v>135</v>
      </c>
      <c r="D44" s="69">
        <v>1</v>
      </c>
      <c r="E44" s="76"/>
      <c r="F44" s="65">
        <v>2</v>
      </c>
      <c r="G44" s="76"/>
      <c r="H44" s="96">
        <f t="shared" si="5"/>
        <v>613619</v>
      </c>
      <c r="I44" s="102">
        <v>2.17</v>
      </c>
      <c r="J44" s="77"/>
      <c r="K44" s="223">
        <v>0.82</v>
      </c>
      <c r="L44" s="102">
        <v>1</v>
      </c>
      <c r="M44" s="222">
        <f t="shared" si="3"/>
        <v>0.82</v>
      </c>
      <c r="N44" s="400">
        <f t="shared" si="6"/>
        <v>1091874</v>
      </c>
      <c r="O44" s="97"/>
      <c r="P44" s="97"/>
      <c r="Q44" s="393"/>
      <c r="R44" s="409"/>
    </row>
    <row r="45" spans="1:18" s="86" customFormat="1" ht="30">
      <c r="A45" s="402" t="s">
        <v>131</v>
      </c>
      <c r="B45" s="404" t="s">
        <v>319</v>
      </c>
      <c r="C45" s="62" t="s">
        <v>135</v>
      </c>
      <c r="D45" s="69">
        <v>1</v>
      </c>
      <c r="E45" s="76"/>
      <c r="F45" s="65">
        <v>2</v>
      </c>
      <c r="G45" s="76"/>
      <c r="H45" s="96">
        <f t="shared" si="5"/>
        <v>613619</v>
      </c>
      <c r="I45" s="102">
        <v>2.17</v>
      </c>
      <c r="J45" s="77"/>
      <c r="K45" s="223">
        <v>0.82</v>
      </c>
      <c r="L45" s="102">
        <v>1</v>
      </c>
      <c r="M45" s="222">
        <f t="shared" si="3"/>
        <v>0.82</v>
      </c>
      <c r="N45" s="400">
        <f t="shared" si="6"/>
        <v>1091874</v>
      </c>
      <c r="O45" s="97"/>
      <c r="P45" s="97"/>
      <c r="Q45" s="393"/>
      <c r="R45" s="409"/>
    </row>
    <row r="46" spans="1:18" ht="30">
      <c r="A46" s="402" t="s">
        <v>325</v>
      </c>
      <c r="B46" s="403" t="s">
        <v>326</v>
      </c>
      <c r="C46" s="62" t="s">
        <v>135</v>
      </c>
      <c r="D46" s="69">
        <v>1</v>
      </c>
      <c r="E46" s="87"/>
      <c r="F46" s="65">
        <v>2</v>
      </c>
      <c r="G46" s="87"/>
      <c r="H46" s="96">
        <f t="shared" si="5"/>
        <v>613619</v>
      </c>
      <c r="I46" s="104">
        <v>23.58</v>
      </c>
      <c r="J46" s="87"/>
      <c r="K46" s="223">
        <v>0.82</v>
      </c>
      <c r="L46" s="102">
        <v>1</v>
      </c>
      <c r="M46" s="222">
        <f t="shared" si="3"/>
        <v>0.82</v>
      </c>
      <c r="N46" s="400">
        <f t="shared" si="6"/>
        <v>11864692</v>
      </c>
      <c r="O46" s="87"/>
      <c r="P46" s="87"/>
      <c r="Q46" s="393"/>
      <c r="R46" s="393"/>
    </row>
    <row r="47" spans="1:18" ht="30">
      <c r="A47" s="402" t="s">
        <v>129</v>
      </c>
      <c r="B47" s="403" t="s">
        <v>327</v>
      </c>
      <c r="C47" s="62" t="s">
        <v>135</v>
      </c>
      <c r="D47" s="69">
        <v>1</v>
      </c>
      <c r="E47" s="87"/>
      <c r="F47" s="65">
        <v>2</v>
      </c>
      <c r="G47" s="87"/>
      <c r="H47" s="96">
        <f t="shared" si="5"/>
        <v>613619</v>
      </c>
      <c r="I47" s="104">
        <v>18.04</v>
      </c>
      <c r="J47" s="87"/>
      <c r="K47" s="223">
        <v>0.82</v>
      </c>
      <c r="L47" s="102">
        <v>1</v>
      </c>
      <c r="M47" s="222">
        <f t="shared" si="3"/>
        <v>0.82</v>
      </c>
      <c r="N47" s="400">
        <f t="shared" si="6"/>
        <v>9077143</v>
      </c>
      <c r="O47" s="87"/>
      <c r="P47" s="87"/>
      <c r="Q47" s="393"/>
      <c r="R47" s="393"/>
    </row>
    <row r="48" spans="1:18" ht="30">
      <c r="A48" s="402" t="s">
        <v>130</v>
      </c>
      <c r="B48" s="403" t="s">
        <v>328</v>
      </c>
      <c r="C48" s="62" t="s">
        <v>135</v>
      </c>
      <c r="D48" s="69">
        <v>1</v>
      </c>
      <c r="E48" s="87"/>
      <c r="F48" s="65">
        <v>2</v>
      </c>
      <c r="G48" s="87"/>
      <c r="H48" s="96">
        <f t="shared" si="5"/>
        <v>613619</v>
      </c>
      <c r="I48" s="104">
        <v>5.54</v>
      </c>
      <c r="J48" s="87"/>
      <c r="K48" s="223">
        <v>0.82</v>
      </c>
      <c r="L48" s="102">
        <v>1</v>
      </c>
      <c r="M48" s="222">
        <f t="shared" si="3"/>
        <v>0.82</v>
      </c>
      <c r="N48" s="400">
        <f t="shared" si="6"/>
        <v>2787548</v>
      </c>
      <c r="O48" s="87"/>
      <c r="P48" s="87"/>
      <c r="Q48" s="393"/>
      <c r="R48" s="393"/>
    </row>
    <row r="49" spans="1:18" ht="30">
      <c r="A49" s="402" t="s">
        <v>329</v>
      </c>
      <c r="B49" s="403" t="s">
        <v>330</v>
      </c>
      <c r="C49" s="62" t="s">
        <v>135</v>
      </c>
      <c r="D49" s="69">
        <v>1</v>
      </c>
      <c r="E49" s="87"/>
      <c r="F49" s="65">
        <v>2</v>
      </c>
      <c r="G49" s="87"/>
      <c r="H49" s="96">
        <f t="shared" si="5"/>
        <v>613619</v>
      </c>
      <c r="I49" s="104">
        <v>9.43</v>
      </c>
      <c r="J49" s="87"/>
      <c r="K49" s="223">
        <v>0.82</v>
      </c>
      <c r="L49" s="102">
        <v>1</v>
      </c>
      <c r="M49" s="222">
        <f t="shared" si="3"/>
        <v>0.82</v>
      </c>
      <c r="N49" s="400">
        <f t="shared" si="6"/>
        <v>4744870</v>
      </c>
      <c r="O49" s="87"/>
      <c r="P49" s="87"/>
      <c r="Q49" s="393"/>
      <c r="R49" s="393"/>
    </row>
    <row r="50" spans="1:18" ht="30">
      <c r="A50" s="402" t="s">
        <v>129</v>
      </c>
      <c r="B50" s="403" t="s">
        <v>111</v>
      </c>
      <c r="C50" s="62" t="s">
        <v>135</v>
      </c>
      <c r="D50" s="69">
        <v>1</v>
      </c>
      <c r="E50" s="87"/>
      <c r="F50" s="65">
        <v>2</v>
      </c>
      <c r="G50" s="87"/>
      <c r="H50" s="96">
        <f t="shared" si="5"/>
        <v>613619</v>
      </c>
      <c r="I50" s="104">
        <v>4.2</v>
      </c>
      <c r="J50" s="87"/>
      <c r="K50" s="223">
        <v>0.82</v>
      </c>
      <c r="L50" s="102">
        <v>1</v>
      </c>
      <c r="M50" s="222">
        <f t="shared" si="3"/>
        <v>0.82</v>
      </c>
      <c r="N50" s="400">
        <f t="shared" si="6"/>
        <v>2113304</v>
      </c>
      <c r="O50" s="87"/>
      <c r="P50" s="87"/>
      <c r="Q50" s="393"/>
      <c r="R50" s="393"/>
    </row>
    <row r="51" spans="1:18" ht="30">
      <c r="A51" s="402" t="s">
        <v>130</v>
      </c>
      <c r="B51" s="403" t="s">
        <v>331</v>
      </c>
      <c r="C51" s="62" t="s">
        <v>135</v>
      </c>
      <c r="D51" s="69">
        <v>1</v>
      </c>
      <c r="E51" s="87"/>
      <c r="F51" s="65">
        <v>2</v>
      </c>
      <c r="G51" s="87"/>
      <c r="H51" s="96">
        <f t="shared" si="5"/>
        <v>613619</v>
      </c>
      <c r="I51" s="104">
        <v>5.23</v>
      </c>
      <c r="J51" s="87"/>
      <c r="K51" s="223">
        <v>0.82</v>
      </c>
      <c r="L51" s="102">
        <v>1</v>
      </c>
      <c r="M51" s="222">
        <f t="shared" si="3"/>
        <v>0.82</v>
      </c>
      <c r="N51" s="400">
        <f t="shared" si="6"/>
        <v>2631566</v>
      </c>
      <c r="O51" s="87"/>
      <c r="P51" s="87"/>
      <c r="Q51" s="393"/>
      <c r="R51" s="393"/>
    </row>
    <row r="52" spans="1:18" ht="30">
      <c r="A52" s="402" t="s">
        <v>43</v>
      </c>
      <c r="B52" s="403" t="s">
        <v>112</v>
      </c>
      <c r="C52" s="62" t="s">
        <v>135</v>
      </c>
      <c r="D52" s="69">
        <v>1</v>
      </c>
      <c r="E52" s="87"/>
      <c r="F52" s="65">
        <v>2</v>
      </c>
      <c r="G52" s="87"/>
      <c r="H52" s="96">
        <f t="shared" si="5"/>
        <v>613619</v>
      </c>
      <c r="I52" s="104">
        <v>25</v>
      </c>
      <c r="J52" s="87"/>
      <c r="K52" s="223">
        <v>0.82</v>
      </c>
      <c r="L52" s="102">
        <v>1</v>
      </c>
      <c r="M52" s="222">
        <f t="shared" si="3"/>
        <v>0.82</v>
      </c>
      <c r="N52" s="400">
        <f t="shared" si="6"/>
        <v>12579190</v>
      </c>
      <c r="O52" s="87"/>
      <c r="P52" s="87"/>
    </row>
    <row r="53" spans="1:18" ht="30">
      <c r="A53" s="402" t="s">
        <v>129</v>
      </c>
      <c r="B53" s="403" t="s">
        <v>236</v>
      </c>
      <c r="C53" s="62" t="s">
        <v>135</v>
      </c>
      <c r="D53" s="69">
        <v>1</v>
      </c>
      <c r="E53" s="87"/>
      <c r="F53" s="65">
        <v>2</v>
      </c>
      <c r="G53" s="87"/>
      <c r="H53" s="96">
        <f t="shared" si="5"/>
        <v>613619</v>
      </c>
      <c r="I53" s="104">
        <v>25</v>
      </c>
      <c r="J53" s="87"/>
      <c r="K53" s="223">
        <v>0.82</v>
      </c>
      <c r="L53" s="102">
        <v>1</v>
      </c>
      <c r="M53" s="222">
        <f t="shared" si="3"/>
        <v>0.82</v>
      </c>
      <c r="N53" s="400">
        <f t="shared" si="6"/>
        <v>12579190</v>
      </c>
      <c r="O53" s="87"/>
      <c r="P53" s="87"/>
    </row>
    <row r="54" spans="1:18" ht="30">
      <c r="A54" s="402" t="s">
        <v>130</v>
      </c>
      <c r="B54" s="403" t="s">
        <v>237</v>
      </c>
      <c r="C54" s="62" t="s">
        <v>135</v>
      </c>
      <c r="D54" s="69">
        <v>1</v>
      </c>
      <c r="E54" s="87"/>
      <c r="F54" s="65">
        <v>2</v>
      </c>
      <c r="G54" s="87"/>
      <c r="H54" s="96">
        <f t="shared" si="5"/>
        <v>613619</v>
      </c>
      <c r="I54" s="104">
        <v>25</v>
      </c>
      <c r="J54" s="87"/>
      <c r="K54" s="223">
        <v>0.82</v>
      </c>
      <c r="L54" s="102">
        <v>0.8</v>
      </c>
      <c r="M54" s="222">
        <f t="shared" si="3"/>
        <v>0.65600000000000003</v>
      </c>
      <c r="N54" s="400">
        <f t="shared" si="6"/>
        <v>10063352</v>
      </c>
      <c r="O54" s="87"/>
      <c r="P54" s="87"/>
    </row>
    <row r="55" spans="1:18" ht="30">
      <c r="A55" s="402" t="s">
        <v>131</v>
      </c>
      <c r="B55" s="403" t="s">
        <v>238</v>
      </c>
      <c r="C55" s="62" t="s">
        <v>135</v>
      </c>
      <c r="D55" s="69">
        <v>1</v>
      </c>
      <c r="E55" s="87"/>
      <c r="F55" s="65">
        <v>2</v>
      </c>
      <c r="G55" s="87"/>
      <c r="H55" s="96">
        <f t="shared" si="5"/>
        <v>613619</v>
      </c>
      <c r="I55" s="104">
        <v>25</v>
      </c>
      <c r="J55" s="87"/>
      <c r="K55" s="223">
        <v>0.82</v>
      </c>
      <c r="L55" s="102">
        <v>0.6</v>
      </c>
      <c r="M55" s="222">
        <f t="shared" si="3"/>
        <v>0.49199999999999994</v>
      </c>
      <c r="N55" s="400">
        <f t="shared" si="6"/>
        <v>7547514</v>
      </c>
      <c r="O55" s="87"/>
      <c r="P55" s="87"/>
    </row>
    <row r="56" spans="1:18" ht="30">
      <c r="A56" s="402" t="s">
        <v>132</v>
      </c>
      <c r="B56" s="403" t="s">
        <v>239</v>
      </c>
      <c r="C56" s="62" t="s">
        <v>135</v>
      </c>
      <c r="D56" s="69">
        <v>1</v>
      </c>
      <c r="E56" s="87"/>
      <c r="F56" s="65">
        <v>2</v>
      </c>
      <c r="G56" s="87"/>
      <c r="H56" s="96">
        <f t="shared" si="5"/>
        <v>613619</v>
      </c>
      <c r="I56" s="104">
        <v>25</v>
      </c>
      <c r="J56" s="87"/>
      <c r="K56" s="223">
        <v>0.82</v>
      </c>
      <c r="L56" s="102">
        <v>0.4</v>
      </c>
      <c r="M56" s="222">
        <f t="shared" si="3"/>
        <v>0.32800000000000001</v>
      </c>
      <c r="N56" s="400">
        <f t="shared" si="6"/>
        <v>5031676</v>
      </c>
      <c r="O56" s="87"/>
      <c r="P56" s="87"/>
    </row>
    <row r="57" spans="1:18" ht="30">
      <c r="A57" s="402" t="s">
        <v>230</v>
      </c>
      <c r="B57" s="403" t="s">
        <v>240</v>
      </c>
      <c r="C57" s="62" t="s">
        <v>135</v>
      </c>
      <c r="D57" s="69">
        <v>1</v>
      </c>
      <c r="E57" s="87"/>
      <c r="F57" s="65">
        <v>2</v>
      </c>
      <c r="G57" s="87"/>
      <c r="H57" s="96">
        <f t="shared" si="5"/>
        <v>613619</v>
      </c>
      <c r="I57" s="104">
        <v>25</v>
      </c>
      <c r="J57" s="87"/>
      <c r="K57" s="223">
        <v>0.82</v>
      </c>
      <c r="L57" s="102">
        <v>0.4</v>
      </c>
      <c r="M57" s="222">
        <f t="shared" si="3"/>
        <v>0.32800000000000001</v>
      </c>
      <c r="N57" s="400">
        <f t="shared" si="6"/>
        <v>5031676</v>
      </c>
      <c r="O57" s="87"/>
      <c r="P57" s="87"/>
    </row>
    <row r="58" spans="1:18" ht="30">
      <c r="A58" s="106">
        <v>5</v>
      </c>
      <c r="B58" s="111" t="s">
        <v>113</v>
      </c>
      <c r="C58" s="62" t="s">
        <v>136</v>
      </c>
      <c r="D58" s="69"/>
      <c r="E58" s="89">
        <v>1</v>
      </c>
      <c r="F58" s="65"/>
      <c r="G58" s="89">
        <v>1</v>
      </c>
      <c r="H58" s="96">
        <f>(212325*E58)+(165614*G58)</f>
        <v>377939</v>
      </c>
      <c r="I58" s="104"/>
      <c r="J58" s="87"/>
      <c r="K58" s="223"/>
      <c r="L58" s="102"/>
      <c r="M58" s="222"/>
      <c r="N58" s="178">
        <f t="shared" si="6"/>
        <v>0</v>
      </c>
      <c r="O58" s="87"/>
      <c r="P58" s="87"/>
    </row>
    <row r="59" spans="1:18" ht="30">
      <c r="A59" s="107" t="s">
        <v>266</v>
      </c>
      <c r="B59" s="110" t="s">
        <v>332</v>
      </c>
      <c r="C59" s="62" t="s">
        <v>136</v>
      </c>
      <c r="D59" s="69"/>
      <c r="E59" s="89">
        <v>1</v>
      </c>
      <c r="F59" s="65"/>
      <c r="G59" s="89">
        <v>1</v>
      </c>
      <c r="H59" s="96">
        <f>(212325*E59)+(165614*G59)</f>
        <v>377939</v>
      </c>
      <c r="I59" s="104">
        <v>1.08</v>
      </c>
      <c r="J59" s="87"/>
      <c r="K59" s="223">
        <v>0.82</v>
      </c>
      <c r="L59" s="104">
        <v>0.8</v>
      </c>
      <c r="M59" s="399">
        <f t="shared" ref="M59:M67" si="7">K59*L59</f>
        <v>0.65600000000000003</v>
      </c>
      <c r="N59" s="400">
        <f t="shared" si="6"/>
        <v>267762</v>
      </c>
      <c r="O59" s="87"/>
      <c r="P59" s="87"/>
    </row>
    <row r="60" spans="1:18" ht="30">
      <c r="A60" s="107" t="s">
        <v>267</v>
      </c>
      <c r="B60" s="110" t="s">
        <v>235</v>
      </c>
      <c r="C60" s="62" t="s">
        <v>136</v>
      </c>
      <c r="D60" s="69"/>
      <c r="E60" s="89">
        <v>1</v>
      </c>
      <c r="F60" s="65"/>
      <c r="G60" s="89">
        <v>1</v>
      </c>
      <c r="H60" s="96">
        <f>(212325*E60)+(165614*G60)</f>
        <v>377939</v>
      </c>
      <c r="I60" s="104">
        <v>0.65</v>
      </c>
      <c r="J60" s="87"/>
      <c r="K60" s="223">
        <v>0.82</v>
      </c>
      <c r="L60" s="104">
        <v>0.6</v>
      </c>
      <c r="M60" s="399">
        <f t="shared" si="7"/>
        <v>0.49199999999999994</v>
      </c>
      <c r="N60" s="400">
        <f t="shared" si="6"/>
        <v>120865</v>
      </c>
      <c r="O60" s="87"/>
      <c r="P60" s="87"/>
    </row>
    <row r="61" spans="1:18" ht="30">
      <c r="A61" s="107" t="s">
        <v>333</v>
      </c>
      <c r="B61" s="110" t="s">
        <v>114</v>
      </c>
      <c r="C61" s="62" t="s">
        <v>136</v>
      </c>
      <c r="D61" s="69"/>
      <c r="E61" s="89">
        <v>1</v>
      </c>
      <c r="F61" s="65"/>
      <c r="G61" s="89">
        <v>1</v>
      </c>
      <c r="H61" s="96">
        <f>(212325*E61)+(165614*G61)</f>
        <v>377939</v>
      </c>
      <c r="I61" s="104">
        <v>0.76</v>
      </c>
      <c r="J61" s="87"/>
      <c r="K61" s="223">
        <v>0.82</v>
      </c>
      <c r="L61" s="104">
        <v>0.4</v>
      </c>
      <c r="M61" s="399">
        <f t="shared" si="7"/>
        <v>0.32800000000000001</v>
      </c>
      <c r="N61" s="400">
        <f t="shared" ref="N61:N67" si="8">ROUND((H61*I61*M61),0)</f>
        <v>94213</v>
      </c>
      <c r="O61" s="87"/>
      <c r="P61" s="87"/>
    </row>
    <row r="62" spans="1:18" ht="30">
      <c r="A62" s="106">
        <v>6</v>
      </c>
      <c r="B62" s="197" t="s">
        <v>115</v>
      </c>
      <c r="C62" s="90" t="s">
        <v>137</v>
      </c>
      <c r="D62" s="87"/>
      <c r="E62" s="89"/>
      <c r="F62" s="89">
        <v>1</v>
      </c>
      <c r="G62" s="87"/>
      <c r="H62" s="96">
        <f>188969*F62</f>
        <v>188969</v>
      </c>
      <c r="I62" s="104">
        <v>1.6</v>
      </c>
      <c r="J62" s="87"/>
      <c r="K62" s="89">
        <v>0.82</v>
      </c>
      <c r="L62" s="104">
        <v>1</v>
      </c>
      <c r="M62" s="222">
        <f t="shared" si="7"/>
        <v>0.82</v>
      </c>
      <c r="N62" s="401">
        <f t="shared" si="8"/>
        <v>247927</v>
      </c>
      <c r="O62" s="87"/>
      <c r="P62" s="87"/>
    </row>
    <row r="63" spans="1:18" ht="30">
      <c r="A63" s="106">
        <v>7</v>
      </c>
      <c r="B63" s="111" t="s">
        <v>116</v>
      </c>
      <c r="C63" s="90" t="s">
        <v>133</v>
      </c>
      <c r="D63" s="87"/>
      <c r="E63" s="87"/>
      <c r="F63" s="89">
        <v>1</v>
      </c>
      <c r="G63" s="89">
        <v>1</v>
      </c>
      <c r="H63" s="96">
        <f>(188969*F63)+(165614*G63)</f>
        <v>354583</v>
      </c>
      <c r="I63" s="104">
        <v>4</v>
      </c>
      <c r="J63" s="87"/>
      <c r="K63" s="89">
        <v>0.82</v>
      </c>
      <c r="L63" s="104">
        <v>1</v>
      </c>
      <c r="M63" s="222">
        <f t="shared" si="7"/>
        <v>0.82</v>
      </c>
      <c r="N63" s="401">
        <f t="shared" si="8"/>
        <v>1163032</v>
      </c>
      <c r="O63" s="87"/>
      <c r="P63" s="87"/>
      <c r="Q63" s="179"/>
    </row>
    <row r="64" spans="1:18" ht="30">
      <c r="A64" s="402" t="s">
        <v>334</v>
      </c>
      <c r="B64" s="403" t="s">
        <v>117</v>
      </c>
      <c r="C64" s="90" t="s">
        <v>133</v>
      </c>
      <c r="D64" s="87"/>
      <c r="E64" s="87"/>
      <c r="F64" s="89">
        <v>1</v>
      </c>
      <c r="G64" s="89">
        <v>1</v>
      </c>
      <c r="H64" s="96">
        <f>(188969*F64)+(165614*G64)</f>
        <v>354583</v>
      </c>
      <c r="I64" s="104">
        <v>1.2</v>
      </c>
      <c r="J64" s="87"/>
      <c r="K64" s="89">
        <v>0.82</v>
      </c>
      <c r="L64" s="104">
        <v>1</v>
      </c>
      <c r="M64" s="222">
        <f t="shared" si="7"/>
        <v>0.82</v>
      </c>
      <c r="N64" s="400">
        <f t="shared" si="8"/>
        <v>348910</v>
      </c>
      <c r="O64" s="87"/>
      <c r="P64" s="87"/>
    </row>
    <row r="65" spans="1:17" ht="30">
      <c r="A65" s="402" t="s">
        <v>335</v>
      </c>
      <c r="B65" s="403" t="s">
        <v>118</v>
      </c>
      <c r="C65" s="90" t="s">
        <v>133</v>
      </c>
      <c r="D65" s="87"/>
      <c r="E65" s="87"/>
      <c r="F65" s="89">
        <v>1</v>
      </c>
      <c r="G65" s="89">
        <v>1</v>
      </c>
      <c r="H65" s="96">
        <f>(188969*F65)+(165614*G65)</f>
        <v>354583</v>
      </c>
      <c r="I65" s="104">
        <v>2.8</v>
      </c>
      <c r="J65" s="87"/>
      <c r="K65" s="89">
        <v>0.82</v>
      </c>
      <c r="L65" s="104">
        <v>1</v>
      </c>
      <c r="M65" s="222">
        <f t="shared" si="7"/>
        <v>0.82</v>
      </c>
      <c r="N65" s="400">
        <f t="shared" si="8"/>
        <v>814123</v>
      </c>
      <c r="O65" s="87"/>
      <c r="P65" s="87"/>
      <c r="Q65" s="179"/>
    </row>
    <row r="66" spans="1:17" ht="30">
      <c r="A66" s="107" t="s">
        <v>336</v>
      </c>
      <c r="B66" s="110" t="s">
        <v>337</v>
      </c>
      <c r="C66" s="90" t="s">
        <v>133</v>
      </c>
      <c r="D66" s="87"/>
      <c r="E66" s="87"/>
      <c r="F66" s="89">
        <v>1</v>
      </c>
      <c r="G66" s="89">
        <v>1</v>
      </c>
      <c r="H66" s="96">
        <f>(188969*F66)+(165614*G66)</f>
        <v>354583</v>
      </c>
      <c r="I66" s="104">
        <v>1.2</v>
      </c>
      <c r="J66" s="87"/>
      <c r="K66" s="89">
        <v>0.82</v>
      </c>
      <c r="L66" s="104">
        <v>1</v>
      </c>
      <c r="M66" s="222">
        <f t="shared" si="7"/>
        <v>0.82</v>
      </c>
      <c r="N66" s="400">
        <f t="shared" si="8"/>
        <v>348910</v>
      </c>
      <c r="O66" s="87"/>
      <c r="P66" s="87"/>
    </row>
    <row r="67" spans="1:17" ht="33.75" customHeight="1">
      <c r="A67" s="107" t="s">
        <v>338</v>
      </c>
      <c r="B67" s="110" t="s">
        <v>231</v>
      </c>
      <c r="C67" s="90" t="s">
        <v>133</v>
      </c>
      <c r="D67" s="87"/>
      <c r="E67" s="87"/>
      <c r="F67" s="89">
        <v>1</v>
      </c>
      <c r="G67" s="89">
        <v>1</v>
      </c>
      <c r="H67" s="96">
        <f>(188969*F67)+(165614*G67)</f>
        <v>354583</v>
      </c>
      <c r="I67" s="104">
        <v>1.6</v>
      </c>
      <c r="J67" s="198"/>
      <c r="K67" s="89">
        <v>0.82</v>
      </c>
      <c r="L67" s="104">
        <v>1</v>
      </c>
      <c r="M67" s="222">
        <f t="shared" si="7"/>
        <v>0.82</v>
      </c>
      <c r="N67" s="400">
        <f t="shared" si="8"/>
        <v>465213</v>
      </c>
      <c r="O67" s="198"/>
      <c r="P67" s="198"/>
    </row>
    <row r="68" spans="1:17" s="86" customFormat="1" ht="25.5" customHeight="1">
      <c r="A68" s="88"/>
      <c r="B68" s="78"/>
      <c r="C68" s="88"/>
      <c r="D68" s="88"/>
      <c r="E68" s="88"/>
      <c r="F68" s="88"/>
      <c r="G68" s="88"/>
      <c r="H68" s="88"/>
      <c r="I68" s="93"/>
      <c r="J68" s="88"/>
      <c r="K68" s="88"/>
      <c r="L68" s="88"/>
      <c r="M68" s="88"/>
      <c r="N68" s="112"/>
      <c r="O68" s="79" t="e">
        <f>O38+O33+O31+O28+O25+O18+O8</f>
        <v>#REF!</v>
      </c>
      <c r="P68" s="79" t="e">
        <f>P38+P33+P31+P28+P25+P18+P8</f>
        <v>#REF!</v>
      </c>
    </row>
  </sheetData>
  <mergeCells count="11">
    <mergeCell ref="C4:G4"/>
    <mergeCell ref="H4:H5"/>
    <mergeCell ref="I4:I5"/>
    <mergeCell ref="A1:N1"/>
    <mergeCell ref="K4:K5"/>
    <mergeCell ref="M4:M5"/>
    <mergeCell ref="L4:L5"/>
    <mergeCell ref="N4:N5"/>
    <mergeCell ref="A2:H2"/>
    <mergeCell ref="A4:A5"/>
    <mergeCell ref="B4:B5"/>
  </mergeCells>
  <printOptions horizontalCentered="1"/>
  <pageMargins left="0" right="0" top="0.25" bottom="0.25" header="0.3" footer="0.25"/>
  <pageSetup paperSize="9" scale="9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5"/>
  <sheetViews>
    <sheetView showZeros="0" zoomScale="85" zoomScaleNormal="85" workbookViewId="0">
      <selection activeCell="E10" sqref="E10"/>
    </sheetView>
  </sheetViews>
  <sheetFormatPr defaultRowHeight="18.75"/>
  <cols>
    <col min="1" max="1" width="7.5703125" style="139" customWidth="1"/>
    <col min="2" max="2" width="40" style="142" customWidth="1"/>
    <col min="3" max="3" width="17" style="139" customWidth="1"/>
    <col min="4" max="4" width="23" style="140" customWidth="1"/>
    <col min="5" max="5" width="18" style="141" customWidth="1"/>
    <col min="6" max="6" width="25.28515625" style="141" customWidth="1"/>
    <col min="7" max="8" width="17.7109375" style="141" customWidth="1"/>
    <col min="9" max="9" width="5" style="138" customWidth="1"/>
    <col min="10" max="16384" width="9.140625" style="138"/>
  </cols>
  <sheetData>
    <row r="1" spans="1:8" ht="20.25" customHeight="1">
      <c r="A1" s="622" t="s">
        <v>349</v>
      </c>
      <c r="B1" s="622"/>
      <c r="C1" s="622"/>
      <c r="D1" s="622"/>
      <c r="E1" s="622"/>
      <c r="F1" s="622"/>
      <c r="G1" s="622"/>
      <c r="H1" s="622"/>
    </row>
    <row r="2" spans="1:8" ht="19.5" customHeight="1">
      <c r="A2" s="626" t="s">
        <v>44</v>
      </c>
      <c r="B2" s="626"/>
      <c r="C2" s="626"/>
      <c r="D2" s="45"/>
      <c r="E2" s="45"/>
      <c r="F2" s="385" t="s">
        <v>214</v>
      </c>
      <c r="G2" s="54"/>
      <c r="H2" s="45"/>
    </row>
    <row r="3" spans="1:8">
      <c r="A3" s="45" t="s">
        <v>66</v>
      </c>
      <c r="B3" s="44" t="s">
        <v>77</v>
      </c>
    </row>
    <row r="4" spans="1:8" ht="19.5" customHeight="1">
      <c r="A4" s="45" t="s">
        <v>127</v>
      </c>
      <c r="B4" s="618" t="s">
        <v>109</v>
      </c>
      <c r="C4" s="618"/>
      <c r="D4" s="618"/>
    </row>
    <row r="5" spans="1:8" ht="5.25" customHeight="1"/>
    <row r="6" spans="1:8" ht="38.450000000000003" customHeight="1">
      <c r="A6" s="501" t="s">
        <v>2</v>
      </c>
      <c r="B6" s="501" t="s">
        <v>77</v>
      </c>
      <c r="C6" s="501" t="s">
        <v>48</v>
      </c>
      <c r="D6" s="501" t="s">
        <v>69</v>
      </c>
      <c r="E6" s="416" t="s">
        <v>281</v>
      </c>
      <c r="F6" s="416" t="s">
        <v>78</v>
      </c>
      <c r="G6" s="138"/>
      <c r="H6" s="138"/>
    </row>
    <row r="7" spans="1:8" ht="18.75" customHeight="1">
      <c r="A7" s="212" t="s">
        <v>7</v>
      </c>
      <c r="B7" s="213" t="s">
        <v>8</v>
      </c>
      <c r="C7" s="213" t="s">
        <v>9</v>
      </c>
      <c r="D7" s="213" t="s">
        <v>21</v>
      </c>
      <c r="E7" s="213" t="s">
        <v>52</v>
      </c>
      <c r="F7" s="200" t="s">
        <v>189</v>
      </c>
      <c r="G7" s="138"/>
      <c r="H7" s="138"/>
    </row>
    <row r="8" spans="1:8" ht="21.75" customHeight="1">
      <c r="A8" s="214">
        <v>1</v>
      </c>
      <c r="B8" s="210" t="s">
        <v>201</v>
      </c>
      <c r="C8" s="211" t="s">
        <v>197</v>
      </c>
      <c r="D8" s="487">
        <v>9</v>
      </c>
      <c r="E8" s="453">
        <v>12000</v>
      </c>
      <c r="F8" s="39">
        <f t="shared" ref="F8:F18" si="0">ROUND(D8*E8,0)</f>
        <v>108000</v>
      </c>
      <c r="G8" s="138"/>
      <c r="H8" s="138"/>
    </row>
    <row r="9" spans="1:8" ht="21.95" customHeight="1">
      <c r="A9" s="215">
        <v>2</v>
      </c>
      <c r="B9" s="143" t="s">
        <v>82</v>
      </c>
      <c r="C9" s="454" t="s">
        <v>192</v>
      </c>
      <c r="D9" s="483">
        <v>2.7</v>
      </c>
      <c r="E9" s="143">
        <v>1400000</v>
      </c>
      <c r="F9" s="39">
        <f>ROUND(D9*E9,0)</f>
        <v>3780000</v>
      </c>
      <c r="G9" s="138"/>
      <c r="H9" s="138"/>
    </row>
    <row r="10" spans="1:8" ht="24" customHeight="1">
      <c r="A10" s="214">
        <v>3</v>
      </c>
      <c r="B10" s="208" t="s">
        <v>188</v>
      </c>
      <c r="C10" s="454" t="s">
        <v>192</v>
      </c>
      <c r="D10" s="488">
        <v>3.5</v>
      </c>
      <c r="E10" s="455">
        <v>1200000</v>
      </c>
      <c r="F10" s="39">
        <f t="shared" si="0"/>
        <v>4200000</v>
      </c>
      <c r="G10" s="138"/>
      <c r="H10" s="138"/>
    </row>
    <row r="11" spans="1:8" ht="21.95" customHeight="1">
      <c r="A11" s="215">
        <v>4</v>
      </c>
      <c r="B11" s="144" t="s">
        <v>81</v>
      </c>
      <c r="C11" s="161" t="s">
        <v>193</v>
      </c>
      <c r="D11" s="484">
        <v>20</v>
      </c>
      <c r="E11" s="144">
        <v>4000</v>
      </c>
      <c r="F11" s="39">
        <f t="shared" si="0"/>
        <v>80000</v>
      </c>
      <c r="G11" s="138"/>
      <c r="H11" s="138"/>
    </row>
    <row r="12" spans="1:8" ht="21.95" customHeight="1">
      <c r="A12" s="214">
        <v>5</v>
      </c>
      <c r="B12" s="143" t="s">
        <v>83</v>
      </c>
      <c r="C12" s="454" t="s">
        <v>194</v>
      </c>
      <c r="D12" s="483">
        <v>3.5</v>
      </c>
      <c r="E12" s="143">
        <v>7500</v>
      </c>
      <c r="F12" s="39">
        <f t="shared" si="0"/>
        <v>26250</v>
      </c>
      <c r="G12" s="138"/>
      <c r="H12" s="138"/>
    </row>
    <row r="13" spans="1:8" ht="21.95" customHeight="1">
      <c r="A13" s="215">
        <v>6</v>
      </c>
      <c r="B13" s="143" t="s">
        <v>84</v>
      </c>
      <c r="C13" s="454" t="s">
        <v>190</v>
      </c>
      <c r="D13" s="483">
        <v>13.5</v>
      </c>
      <c r="E13" s="143">
        <v>75000</v>
      </c>
      <c r="F13" s="39">
        <f t="shared" si="0"/>
        <v>1012500</v>
      </c>
      <c r="G13" s="138"/>
      <c r="H13" s="138"/>
    </row>
    <row r="14" spans="1:8" ht="21.95" customHeight="1">
      <c r="A14" s="214">
        <v>7</v>
      </c>
      <c r="B14" s="143" t="s">
        <v>85</v>
      </c>
      <c r="C14" s="454" t="s">
        <v>192</v>
      </c>
      <c r="D14" s="483">
        <v>9</v>
      </c>
      <c r="E14" s="143">
        <v>5000</v>
      </c>
      <c r="F14" s="39">
        <f t="shared" si="0"/>
        <v>45000</v>
      </c>
      <c r="G14" s="138"/>
      <c r="H14" s="138"/>
    </row>
    <row r="15" spans="1:8" ht="21.95" customHeight="1">
      <c r="A15" s="215">
        <v>8</v>
      </c>
      <c r="B15" s="143" t="s">
        <v>86</v>
      </c>
      <c r="C15" s="454" t="s">
        <v>192</v>
      </c>
      <c r="D15" s="483">
        <v>9</v>
      </c>
      <c r="E15" s="143">
        <v>5000</v>
      </c>
      <c r="F15" s="39">
        <f t="shared" si="0"/>
        <v>45000</v>
      </c>
      <c r="G15" s="138"/>
      <c r="H15" s="138"/>
    </row>
    <row r="16" spans="1:8" ht="21.95" customHeight="1">
      <c r="A16" s="214">
        <v>9</v>
      </c>
      <c r="B16" s="143" t="s">
        <v>187</v>
      </c>
      <c r="C16" s="454" t="s">
        <v>192</v>
      </c>
      <c r="D16" s="483">
        <v>9</v>
      </c>
      <c r="E16" s="143">
        <v>24000</v>
      </c>
      <c r="F16" s="39">
        <f t="shared" si="0"/>
        <v>216000</v>
      </c>
      <c r="G16" s="138"/>
      <c r="H16" s="138"/>
    </row>
    <row r="17" spans="1:9" ht="21.95" customHeight="1">
      <c r="A17" s="215">
        <v>10</v>
      </c>
      <c r="B17" s="143" t="s">
        <v>87</v>
      </c>
      <c r="C17" s="454" t="s">
        <v>193</v>
      </c>
      <c r="D17" s="483">
        <v>25</v>
      </c>
      <c r="E17" s="143">
        <v>1000</v>
      </c>
      <c r="F17" s="39">
        <f t="shared" si="0"/>
        <v>25000</v>
      </c>
      <c r="G17" s="138"/>
      <c r="H17" s="138"/>
    </row>
    <row r="18" spans="1:9" ht="21.95" customHeight="1">
      <c r="A18" s="214">
        <v>11</v>
      </c>
      <c r="B18" s="143" t="s">
        <v>80</v>
      </c>
      <c r="C18" s="454" t="s">
        <v>191</v>
      </c>
      <c r="D18" s="483">
        <v>1</v>
      </c>
      <c r="E18" s="143">
        <v>14000</v>
      </c>
      <c r="F18" s="39">
        <f t="shared" si="0"/>
        <v>14000</v>
      </c>
      <c r="G18" s="138"/>
      <c r="H18" s="138"/>
    </row>
    <row r="19" spans="1:9" ht="27" customHeight="1">
      <c r="A19" s="41"/>
      <c r="B19" s="619" t="s">
        <v>287</v>
      </c>
      <c r="C19" s="620"/>
      <c r="D19" s="621"/>
      <c r="E19" s="457"/>
      <c r="F19" s="145">
        <f>SUM(F8:F18)</f>
        <v>9551750</v>
      </c>
      <c r="G19" s="138"/>
      <c r="H19" s="138"/>
    </row>
    <row r="20" spans="1:9" ht="27" customHeight="1">
      <c r="A20" s="41"/>
      <c r="B20" s="624" t="s">
        <v>288</v>
      </c>
      <c r="C20" s="624"/>
      <c r="D20" s="624"/>
      <c r="E20" s="457"/>
      <c r="F20" s="145">
        <f>F19*0.08</f>
        <v>764140</v>
      </c>
      <c r="G20" s="138"/>
      <c r="H20" s="138"/>
    </row>
    <row r="21" spans="1:9" ht="27" customHeight="1">
      <c r="A21" s="41"/>
      <c r="B21" s="624" t="s">
        <v>65</v>
      </c>
      <c r="C21" s="624"/>
      <c r="D21" s="624"/>
      <c r="E21" s="457"/>
      <c r="F21" s="145">
        <f>F19+F20</f>
        <v>10315890</v>
      </c>
      <c r="G21" s="138"/>
      <c r="H21" s="138"/>
    </row>
    <row r="22" spans="1:9" ht="27" customHeight="1">
      <c r="A22" s="277"/>
      <c r="B22" s="278"/>
      <c r="C22" s="278"/>
      <c r="D22" s="278"/>
      <c r="E22" s="458"/>
      <c r="F22" s="279"/>
      <c r="G22" s="138"/>
      <c r="H22" s="138"/>
    </row>
    <row r="23" spans="1:9" s="459" customFormat="1" ht="16.5">
      <c r="A23" s="625" t="s">
        <v>198</v>
      </c>
      <c r="B23" s="625"/>
      <c r="C23" s="625"/>
      <c r="D23" s="625"/>
      <c r="E23" s="625"/>
      <c r="F23" s="625"/>
      <c r="G23" s="625"/>
      <c r="H23" s="625"/>
      <c r="I23" s="625"/>
    </row>
    <row r="24" spans="1:9" s="459" customFormat="1" ht="15">
      <c r="A24" s="33"/>
      <c r="B24" s="33"/>
      <c r="C24" s="80"/>
      <c r="D24" s="80"/>
      <c r="E24" s="80"/>
      <c r="F24" s="33"/>
      <c r="G24" s="33"/>
      <c r="H24" s="33"/>
      <c r="I24" s="33"/>
    </row>
    <row r="25" spans="1:9" s="459" customFormat="1" ht="37.5">
      <c r="A25" s="449" t="s">
        <v>161</v>
      </c>
      <c r="B25" s="460" t="s">
        <v>144</v>
      </c>
      <c r="C25" s="448" t="s">
        <v>145</v>
      </c>
      <c r="D25" s="267" t="s">
        <v>279</v>
      </c>
      <c r="E25" s="449" t="s">
        <v>146</v>
      </c>
    </row>
    <row r="26" spans="1:9" s="459" customFormat="1" ht="15.75">
      <c r="A26" s="270" t="s">
        <v>109</v>
      </c>
      <c r="B26" s="261"/>
      <c r="C26" s="284">
        <v>0.56100000000000005</v>
      </c>
      <c r="D26" s="461">
        <v>1</v>
      </c>
      <c r="E26" s="128">
        <f>ROUND((F$21*C26*D26),0)</f>
        <v>5787214</v>
      </c>
    </row>
    <row r="27" spans="1:9" s="459" customFormat="1" ht="15.75">
      <c r="A27" s="135">
        <v>1</v>
      </c>
      <c r="B27" s="415" t="s">
        <v>110</v>
      </c>
      <c r="C27" s="284">
        <v>0.50600000000000001</v>
      </c>
      <c r="D27" s="461">
        <v>1</v>
      </c>
      <c r="E27" s="128">
        <f t="shared" ref="E27:E55" si="1">ROUND((F$21*C27*D27),0)</f>
        <v>5219840</v>
      </c>
    </row>
    <row r="28" spans="1:9" s="459" customFormat="1" ht="51" customHeight="1">
      <c r="A28" s="135" t="s">
        <v>30</v>
      </c>
      <c r="B28" s="415" t="s">
        <v>307</v>
      </c>
      <c r="C28" s="284">
        <v>5.5E-2</v>
      </c>
      <c r="D28" s="461">
        <v>1</v>
      </c>
      <c r="E28" s="128">
        <f t="shared" si="1"/>
        <v>567374</v>
      </c>
    </row>
    <row r="29" spans="1:9" s="459" customFormat="1" ht="15.75">
      <c r="A29" s="135" t="s">
        <v>165</v>
      </c>
      <c r="B29" s="415" t="s">
        <v>308</v>
      </c>
      <c r="C29" s="284">
        <v>4.0000000000000001E-3</v>
      </c>
      <c r="D29" s="461">
        <v>1</v>
      </c>
      <c r="E29" s="128">
        <f t="shared" si="1"/>
        <v>41264</v>
      </c>
    </row>
    <row r="30" spans="1:9" s="459" customFormat="1" ht="15.75">
      <c r="A30" s="135" t="s">
        <v>166</v>
      </c>
      <c r="B30" s="415" t="s">
        <v>309</v>
      </c>
      <c r="C30" s="284">
        <v>5.0999999999999997E-2</v>
      </c>
      <c r="D30" s="461">
        <v>1</v>
      </c>
      <c r="E30" s="128">
        <f t="shared" si="1"/>
        <v>526110</v>
      </c>
    </row>
    <row r="31" spans="1:9" s="459" customFormat="1" ht="15.75">
      <c r="A31" s="135" t="s">
        <v>31</v>
      </c>
      <c r="B31" s="415" t="s">
        <v>311</v>
      </c>
      <c r="C31" s="284">
        <v>0.11600000000000001</v>
      </c>
      <c r="D31" s="461">
        <v>1</v>
      </c>
      <c r="E31" s="128">
        <f t="shared" si="1"/>
        <v>1196643</v>
      </c>
    </row>
    <row r="32" spans="1:9" s="459" customFormat="1" ht="15.75">
      <c r="A32" s="135" t="s">
        <v>167</v>
      </c>
      <c r="B32" s="415" t="s">
        <v>312</v>
      </c>
      <c r="C32" s="284">
        <v>1.6E-2</v>
      </c>
      <c r="D32" s="461">
        <v>1</v>
      </c>
      <c r="E32" s="128">
        <f t="shared" si="1"/>
        <v>165054</v>
      </c>
    </row>
    <row r="33" spans="1:6" s="459" customFormat="1" ht="31.5">
      <c r="A33" s="135" t="s">
        <v>168</v>
      </c>
      <c r="B33" s="415" t="s">
        <v>313</v>
      </c>
      <c r="C33" s="284">
        <v>1.7000000000000001E-2</v>
      </c>
      <c r="D33" s="461">
        <v>1</v>
      </c>
      <c r="E33" s="128">
        <f t="shared" si="1"/>
        <v>175370</v>
      </c>
    </row>
    <row r="34" spans="1:6" s="459" customFormat="1" ht="31.5">
      <c r="A34" s="135" t="s">
        <v>169</v>
      </c>
      <c r="B34" s="415" t="s">
        <v>314</v>
      </c>
      <c r="C34" s="284">
        <v>4.2000000000000003E-2</v>
      </c>
      <c r="D34" s="461">
        <v>1</v>
      </c>
      <c r="E34" s="128">
        <f t="shared" si="1"/>
        <v>433267</v>
      </c>
    </row>
    <row r="35" spans="1:6" s="459" customFormat="1" ht="15.75">
      <c r="A35" s="135" t="s">
        <v>170</v>
      </c>
      <c r="B35" s="415" t="s">
        <v>315</v>
      </c>
      <c r="C35" s="284">
        <v>3.9E-2</v>
      </c>
      <c r="D35" s="461">
        <v>1</v>
      </c>
      <c r="E35" s="128">
        <f t="shared" si="1"/>
        <v>402320</v>
      </c>
    </row>
    <row r="36" spans="1:6" s="459" customFormat="1" ht="29.25" customHeight="1">
      <c r="A36" s="135" t="s">
        <v>153</v>
      </c>
      <c r="B36" s="415" t="s">
        <v>321</v>
      </c>
      <c r="C36" s="284">
        <v>0.23699999999999999</v>
      </c>
      <c r="D36" s="461">
        <v>1</v>
      </c>
      <c r="E36" s="128">
        <f t="shared" si="1"/>
        <v>2444866</v>
      </c>
    </row>
    <row r="37" spans="1:6" s="459" customFormat="1" ht="31.5">
      <c r="A37" s="135" t="s">
        <v>171</v>
      </c>
      <c r="B37" s="415" t="s">
        <v>322</v>
      </c>
      <c r="C37" s="284">
        <v>8.5999999999999993E-2</v>
      </c>
      <c r="D37" s="461">
        <v>1</v>
      </c>
      <c r="E37" s="128">
        <f t="shared" si="1"/>
        <v>887167</v>
      </c>
    </row>
    <row r="38" spans="1:6" s="459" customFormat="1" ht="31.5">
      <c r="A38" s="135" t="s">
        <v>172</v>
      </c>
      <c r="B38" s="415" t="s">
        <v>323</v>
      </c>
      <c r="C38" s="284">
        <v>6.6000000000000003E-2</v>
      </c>
      <c r="D38" s="461">
        <v>1</v>
      </c>
      <c r="E38" s="128">
        <f t="shared" si="1"/>
        <v>680849</v>
      </c>
    </row>
    <row r="39" spans="1:6" s="459" customFormat="1" ht="31.5">
      <c r="A39" s="135" t="s">
        <v>173</v>
      </c>
      <c r="B39" s="415" t="s">
        <v>324</v>
      </c>
      <c r="C39" s="284">
        <v>8.5000000000000006E-2</v>
      </c>
      <c r="D39" s="461">
        <v>1</v>
      </c>
      <c r="E39" s="128">
        <f t="shared" si="1"/>
        <v>876851</v>
      </c>
      <c r="F39" s="462"/>
    </row>
    <row r="40" spans="1:6" s="459" customFormat="1" ht="15.75">
      <c r="A40" s="135" t="s">
        <v>152</v>
      </c>
      <c r="B40" s="415" t="s">
        <v>317</v>
      </c>
      <c r="C40" s="284">
        <v>2.5999999999999999E-2</v>
      </c>
      <c r="D40" s="461">
        <v>1</v>
      </c>
      <c r="E40" s="128">
        <f t="shared" si="1"/>
        <v>268213</v>
      </c>
    </row>
    <row r="41" spans="1:6" s="459" customFormat="1" ht="31.5">
      <c r="A41" s="135" t="s">
        <v>340</v>
      </c>
      <c r="B41" s="415" t="s">
        <v>318</v>
      </c>
      <c r="C41" s="284">
        <v>1.6E-2</v>
      </c>
      <c r="D41" s="461">
        <v>1</v>
      </c>
      <c r="E41" s="128">
        <f t="shared" si="1"/>
        <v>165054</v>
      </c>
    </row>
    <row r="42" spans="1:6" s="459" customFormat="1" ht="15.75">
      <c r="A42" s="135" t="s">
        <v>341</v>
      </c>
      <c r="B42" s="415" t="s">
        <v>309</v>
      </c>
      <c r="C42" s="284">
        <v>5.0000000000000001E-3</v>
      </c>
      <c r="D42" s="461">
        <v>1</v>
      </c>
      <c r="E42" s="128">
        <f t="shared" si="1"/>
        <v>51579</v>
      </c>
    </row>
    <row r="43" spans="1:6" s="459" customFormat="1" ht="15.75">
      <c r="A43" s="135" t="s">
        <v>342</v>
      </c>
      <c r="B43" s="415" t="s">
        <v>319</v>
      </c>
      <c r="C43" s="284">
        <v>5.0000000000000001E-3</v>
      </c>
      <c r="D43" s="461">
        <v>1</v>
      </c>
      <c r="E43" s="128">
        <f t="shared" si="1"/>
        <v>51579</v>
      </c>
    </row>
    <row r="44" spans="1:6" s="459" customFormat="1" ht="15.75">
      <c r="A44" s="135" t="s">
        <v>155</v>
      </c>
      <c r="B44" s="415" t="s">
        <v>326</v>
      </c>
      <c r="C44" s="284">
        <v>5.1999999999999998E-2</v>
      </c>
      <c r="D44" s="461">
        <v>1</v>
      </c>
      <c r="E44" s="128">
        <f t="shared" si="1"/>
        <v>536426</v>
      </c>
    </row>
    <row r="45" spans="1:6" s="459" customFormat="1" ht="15.75">
      <c r="A45" s="135" t="s">
        <v>343</v>
      </c>
      <c r="B45" s="415" t="s">
        <v>327</v>
      </c>
      <c r="C45" s="284">
        <v>0.04</v>
      </c>
      <c r="D45" s="461">
        <v>1</v>
      </c>
      <c r="E45" s="128">
        <f t="shared" si="1"/>
        <v>412636</v>
      </c>
    </row>
    <row r="46" spans="1:6" s="459" customFormat="1" ht="15.75">
      <c r="A46" s="135" t="s">
        <v>344</v>
      </c>
      <c r="B46" s="415" t="s">
        <v>328</v>
      </c>
      <c r="C46" s="284">
        <v>1.2E-2</v>
      </c>
      <c r="D46" s="461">
        <v>1</v>
      </c>
      <c r="E46" s="128">
        <f t="shared" si="1"/>
        <v>123791</v>
      </c>
    </row>
    <row r="47" spans="1:6" s="459" customFormat="1" ht="47.25">
      <c r="A47" s="135" t="s">
        <v>174</v>
      </c>
      <c r="B47" s="415" t="s">
        <v>345</v>
      </c>
      <c r="C47" s="284">
        <v>2.1000000000000001E-2</v>
      </c>
      <c r="D47" s="461">
        <v>1</v>
      </c>
      <c r="E47" s="128">
        <f t="shared" si="1"/>
        <v>216634</v>
      </c>
    </row>
    <row r="48" spans="1:6" s="459" customFormat="1" ht="15.75">
      <c r="A48" s="135" t="s">
        <v>346</v>
      </c>
      <c r="B48" s="415" t="s">
        <v>111</v>
      </c>
      <c r="C48" s="284">
        <v>8.9999999999999993E-3</v>
      </c>
      <c r="D48" s="461">
        <v>1</v>
      </c>
      <c r="E48" s="128">
        <f t="shared" si="1"/>
        <v>92843</v>
      </c>
    </row>
    <row r="49" spans="1:8" s="459" customFormat="1" ht="31.5">
      <c r="A49" s="135" t="s">
        <v>347</v>
      </c>
      <c r="B49" s="415" t="s">
        <v>331</v>
      </c>
      <c r="C49" s="284">
        <v>1.2E-2</v>
      </c>
      <c r="D49" s="461">
        <v>1</v>
      </c>
      <c r="E49" s="128">
        <f t="shared" si="1"/>
        <v>123791</v>
      </c>
    </row>
    <row r="50" spans="1:8" s="459" customFormat="1" ht="31.5">
      <c r="A50" s="135">
        <v>2</v>
      </c>
      <c r="B50" s="415" t="s">
        <v>112</v>
      </c>
      <c r="C50" s="284">
        <v>5.5E-2</v>
      </c>
      <c r="D50" s="461">
        <v>1</v>
      </c>
      <c r="E50" s="128">
        <f t="shared" si="1"/>
        <v>567374</v>
      </c>
    </row>
    <row r="51" spans="1:8">
      <c r="A51" s="38" t="s">
        <v>129</v>
      </c>
      <c r="B51" s="216" t="s">
        <v>236</v>
      </c>
      <c r="C51" s="284">
        <v>5.5E-2</v>
      </c>
      <c r="D51" s="461">
        <v>1</v>
      </c>
      <c r="E51" s="128">
        <f t="shared" si="1"/>
        <v>567374</v>
      </c>
      <c r="G51" s="138"/>
      <c r="H51" s="138"/>
    </row>
    <row r="52" spans="1:8">
      <c r="A52" s="38" t="s">
        <v>130</v>
      </c>
      <c r="B52" s="216" t="s">
        <v>237</v>
      </c>
      <c r="C52" s="284">
        <v>5.5E-2</v>
      </c>
      <c r="D52" s="461">
        <v>0.8</v>
      </c>
      <c r="E52" s="128">
        <f t="shared" si="1"/>
        <v>453899</v>
      </c>
    </row>
    <row r="53" spans="1:8">
      <c r="A53" s="38" t="s">
        <v>131</v>
      </c>
      <c r="B53" s="216" t="s">
        <v>238</v>
      </c>
      <c r="C53" s="284">
        <v>5.5E-2</v>
      </c>
      <c r="D53" s="461">
        <v>0.6</v>
      </c>
      <c r="E53" s="128">
        <f t="shared" si="1"/>
        <v>340424</v>
      </c>
    </row>
    <row r="54" spans="1:8">
      <c r="A54" s="38" t="s">
        <v>132</v>
      </c>
      <c r="B54" s="216" t="s">
        <v>239</v>
      </c>
      <c r="C54" s="284">
        <v>5.5E-2</v>
      </c>
      <c r="D54" s="461">
        <v>0.4</v>
      </c>
      <c r="E54" s="128">
        <f t="shared" si="1"/>
        <v>226950</v>
      </c>
    </row>
    <row r="55" spans="1:8">
      <c r="A55" s="38" t="s">
        <v>230</v>
      </c>
      <c r="B55" s="216" t="s">
        <v>240</v>
      </c>
      <c r="C55" s="284">
        <v>5.5E-2</v>
      </c>
      <c r="D55" s="461">
        <v>0.4</v>
      </c>
      <c r="E55" s="128">
        <f t="shared" si="1"/>
        <v>226950</v>
      </c>
    </row>
  </sheetData>
  <mergeCells count="7">
    <mergeCell ref="A23:I23"/>
    <mergeCell ref="A1:H1"/>
    <mergeCell ref="A2:C2"/>
    <mergeCell ref="B4:D4"/>
    <mergeCell ref="B20:D20"/>
    <mergeCell ref="B21:D21"/>
    <mergeCell ref="B19:D19"/>
  </mergeCells>
  <printOptions horizontalCentered="1"/>
  <pageMargins left="0.25" right="0" top="0.25" bottom="0.25" header="0.27" footer="0.2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Zeros="0" zoomScale="85" zoomScaleNormal="85" workbookViewId="0">
      <selection activeCell="B10" sqref="B10"/>
    </sheetView>
  </sheetViews>
  <sheetFormatPr defaultRowHeight="18.75"/>
  <cols>
    <col min="1" max="1" width="6" style="139" customWidth="1"/>
    <col min="2" max="2" width="44" style="142" customWidth="1"/>
    <col min="3" max="3" width="22.7109375" style="139" customWidth="1"/>
    <col min="4" max="4" width="20.42578125" style="140" customWidth="1"/>
    <col min="5" max="5" width="25.85546875" style="141" customWidth="1"/>
    <col min="6" max="6" width="27" style="141" customWidth="1"/>
    <col min="7" max="8" width="17.7109375" style="141" customWidth="1"/>
    <col min="9" max="9" width="5" style="138" customWidth="1"/>
    <col min="10" max="16384" width="9.140625" style="138"/>
  </cols>
  <sheetData>
    <row r="1" spans="1:8" ht="20.25" customHeight="1">
      <c r="A1" s="622" t="s">
        <v>349</v>
      </c>
      <c r="B1" s="622"/>
      <c r="C1" s="622"/>
      <c r="D1" s="622"/>
      <c r="E1" s="622"/>
      <c r="F1" s="622"/>
      <c r="G1" s="622"/>
      <c r="H1" s="622"/>
    </row>
    <row r="2" spans="1:8" ht="15.75" customHeight="1">
      <c r="A2" s="623" t="s">
        <v>44</v>
      </c>
      <c r="B2" s="623"/>
      <c r="C2" s="623"/>
      <c r="D2" s="45"/>
      <c r="E2" s="45"/>
      <c r="F2" s="1" t="s">
        <v>215</v>
      </c>
      <c r="G2" s="1"/>
      <c r="H2" s="45"/>
    </row>
    <row r="3" spans="1:8">
      <c r="A3" s="45" t="s">
        <v>34</v>
      </c>
      <c r="B3" s="44" t="s">
        <v>77</v>
      </c>
    </row>
    <row r="4" spans="1:8" ht="17.25" customHeight="1">
      <c r="A4" s="45" t="s">
        <v>128</v>
      </c>
      <c r="B4" s="618" t="s">
        <v>113</v>
      </c>
      <c r="C4" s="618"/>
      <c r="D4" s="618"/>
    </row>
    <row r="5" spans="1:8" ht="5.25" customHeight="1"/>
    <row r="6" spans="1:8" ht="56.25">
      <c r="A6" s="501" t="s">
        <v>2</v>
      </c>
      <c r="B6" s="501" t="s">
        <v>77</v>
      </c>
      <c r="C6" s="501" t="s">
        <v>48</v>
      </c>
      <c r="D6" s="501" t="s">
        <v>69</v>
      </c>
      <c r="E6" s="502" t="s">
        <v>281</v>
      </c>
      <c r="F6" s="416" t="s">
        <v>295</v>
      </c>
      <c r="G6" s="138"/>
      <c r="H6" s="138"/>
    </row>
    <row r="7" spans="1:8" ht="18.75" customHeight="1">
      <c r="A7" s="35" t="s">
        <v>7</v>
      </c>
      <c r="B7" s="36" t="s">
        <v>8</v>
      </c>
      <c r="C7" s="36" t="s">
        <v>9</v>
      </c>
      <c r="D7" s="36" t="s">
        <v>21</v>
      </c>
      <c r="E7" s="37" t="s">
        <v>52</v>
      </c>
      <c r="F7" s="38" t="s">
        <v>189</v>
      </c>
      <c r="G7" s="138"/>
      <c r="H7" s="138"/>
    </row>
    <row r="8" spans="1:8" ht="24" customHeight="1">
      <c r="A8" s="150">
        <v>1</v>
      </c>
      <c r="B8" s="208" t="s">
        <v>195</v>
      </c>
      <c r="C8" s="148" t="s">
        <v>197</v>
      </c>
      <c r="D8" s="485">
        <v>2.25</v>
      </c>
      <c r="E8" s="156">
        <v>12000</v>
      </c>
      <c r="F8" s="39">
        <f>ROUND(D8*E8,0)</f>
        <v>27000</v>
      </c>
      <c r="G8" s="138"/>
      <c r="H8" s="138"/>
    </row>
    <row r="9" spans="1:8" ht="21.75" customHeight="1">
      <c r="A9" s="160">
        <v>2</v>
      </c>
      <c r="B9" s="210" t="s">
        <v>199</v>
      </c>
      <c r="C9" s="153" t="s">
        <v>55</v>
      </c>
      <c r="D9" s="482">
        <v>10</v>
      </c>
      <c r="E9" s="154">
        <v>4500</v>
      </c>
      <c r="F9" s="39">
        <f>ROUND(D9*E9,0)</f>
        <v>45000</v>
      </c>
      <c r="G9" s="138"/>
      <c r="H9" s="138"/>
    </row>
    <row r="10" spans="1:8" ht="21.95" customHeight="1">
      <c r="A10" s="151">
        <v>3</v>
      </c>
      <c r="B10" s="143" t="s">
        <v>82</v>
      </c>
      <c r="C10" s="43" t="s">
        <v>192</v>
      </c>
      <c r="D10" s="486">
        <v>0.8</v>
      </c>
      <c r="E10" s="40">
        <v>1400000</v>
      </c>
      <c r="F10" s="39">
        <f>ROUND(D10*E10,0)</f>
        <v>1120000</v>
      </c>
      <c r="G10" s="138"/>
      <c r="H10" s="138"/>
    </row>
    <row r="11" spans="1:8" ht="24" customHeight="1">
      <c r="A11" s="151">
        <v>4</v>
      </c>
      <c r="B11" s="149" t="s">
        <v>188</v>
      </c>
      <c r="C11" s="148" t="s">
        <v>197</v>
      </c>
      <c r="D11" s="485">
        <v>0.2</v>
      </c>
      <c r="E11" s="156">
        <v>1200000</v>
      </c>
      <c r="F11" s="39">
        <f t="shared" ref="F11:F18" si="0">ROUND(D11*E11,0)</f>
        <v>240000</v>
      </c>
      <c r="G11" s="138"/>
      <c r="H11" s="138"/>
    </row>
    <row r="12" spans="1:8" ht="21.95" customHeight="1">
      <c r="A12" s="151">
        <v>5</v>
      </c>
      <c r="B12" s="144" t="s">
        <v>81</v>
      </c>
      <c r="C12" s="161" t="s">
        <v>193</v>
      </c>
      <c r="D12" s="484">
        <v>15</v>
      </c>
      <c r="E12" s="144">
        <v>4000</v>
      </c>
      <c r="F12" s="39">
        <f t="shared" si="0"/>
        <v>60000</v>
      </c>
      <c r="G12" s="138"/>
      <c r="H12" s="138"/>
    </row>
    <row r="13" spans="1:8" ht="21.95" customHeight="1">
      <c r="A13" s="151">
        <v>6</v>
      </c>
      <c r="B13" s="143" t="s">
        <v>83</v>
      </c>
      <c r="C13" s="43" t="s">
        <v>194</v>
      </c>
      <c r="D13" s="486">
        <v>0.9</v>
      </c>
      <c r="E13" s="40">
        <v>7500</v>
      </c>
      <c r="F13" s="39">
        <f t="shared" si="0"/>
        <v>6750</v>
      </c>
      <c r="G13" s="138"/>
      <c r="H13" s="138"/>
    </row>
    <row r="14" spans="1:8" ht="21.95" customHeight="1">
      <c r="A14" s="151">
        <v>7</v>
      </c>
      <c r="B14" s="143" t="s">
        <v>84</v>
      </c>
      <c r="C14" s="43" t="s">
        <v>190</v>
      </c>
      <c r="D14" s="486">
        <v>4.95</v>
      </c>
      <c r="E14" s="40">
        <v>75000</v>
      </c>
      <c r="F14" s="39">
        <f t="shared" si="0"/>
        <v>371250</v>
      </c>
      <c r="G14" s="138"/>
      <c r="H14" s="138"/>
    </row>
    <row r="15" spans="1:8" ht="21.95" customHeight="1">
      <c r="A15" s="151">
        <v>8</v>
      </c>
      <c r="B15" s="143" t="s">
        <v>85</v>
      </c>
      <c r="C15" s="43" t="s">
        <v>192</v>
      </c>
      <c r="D15" s="486">
        <v>0.9</v>
      </c>
      <c r="E15" s="40">
        <v>5000</v>
      </c>
      <c r="F15" s="39">
        <f t="shared" si="0"/>
        <v>4500</v>
      </c>
      <c r="G15" s="138"/>
      <c r="H15" s="138"/>
    </row>
    <row r="16" spans="1:8" ht="21.95" customHeight="1">
      <c r="A16" s="151">
        <v>9</v>
      </c>
      <c r="B16" s="143" t="s">
        <v>87</v>
      </c>
      <c r="C16" s="43" t="s">
        <v>193</v>
      </c>
      <c r="D16" s="486">
        <v>15</v>
      </c>
      <c r="E16" s="40">
        <v>1000</v>
      </c>
      <c r="F16" s="39">
        <f t="shared" si="0"/>
        <v>15000</v>
      </c>
      <c r="G16" s="138"/>
      <c r="H16" s="138"/>
    </row>
    <row r="17" spans="1:9" ht="21.95" customHeight="1">
      <c r="A17" s="151">
        <v>10</v>
      </c>
      <c r="B17" s="143" t="s">
        <v>80</v>
      </c>
      <c r="C17" s="43" t="s">
        <v>191</v>
      </c>
      <c r="D17" s="486">
        <v>1.8</v>
      </c>
      <c r="E17" s="40">
        <v>14000</v>
      </c>
      <c r="F17" s="39">
        <f t="shared" si="0"/>
        <v>25200</v>
      </c>
      <c r="G17" s="138"/>
      <c r="H17" s="138"/>
    </row>
    <row r="18" spans="1:9" ht="21.95" customHeight="1">
      <c r="A18" s="158">
        <v>11</v>
      </c>
      <c r="B18" s="159" t="s">
        <v>79</v>
      </c>
      <c r="C18" s="157" t="s">
        <v>191</v>
      </c>
      <c r="D18" s="486">
        <v>1.8</v>
      </c>
      <c r="E18" s="40">
        <v>22000</v>
      </c>
      <c r="F18" s="39">
        <f t="shared" si="0"/>
        <v>39600</v>
      </c>
      <c r="G18" s="138"/>
      <c r="H18" s="138"/>
    </row>
    <row r="19" spans="1:9" ht="24" customHeight="1">
      <c r="A19" s="41"/>
      <c r="B19" s="619" t="s">
        <v>287</v>
      </c>
      <c r="C19" s="620"/>
      <c r="D19" s="621"/>
      <c r="E19" s="42"/>
      <c r="F19" s="145">
        <f>SUM(F8:F18)</f>
        <v>1954300</v>
      </c>
      <c r="G19" s="138"/>
      <c r="H19" s="138"/>
    </row>
    <row r="20" spans="1:9" ht="27" customHeight="1">
      <c r="A20" s="41"/>
      <c r="B20" s="619" t="s">
        <v>288</v>
      </c>
      <c r="C20" s="620"/>
      <c r="D20" s="621"/>
      <c r="E20" s="42"/>
      <c r="F20" s="145">
        <f>F19*0.08</f>
        <v>156344</v>
      </c>
      <c r="G20" s="138"/>
      <c r="H20" s="138"/>
    </row>
    <row r="21" spans="1:9" ht="24" customHeight="1">
      <c r="A21" s="41"/>
      <c r="B21" s="619" t="s">
        <v>65</v>
      </c>
      <c r="C21" s="620"/>
      <c r="D21" s="621"/>
      <c r="E21" s="42"/>
      <c r="F21" s="145">
        <f>F19+F20</f>
        <v>2110644</v>
      </c>
      <c r="G21" s="138"/>
      <c r="H21" s="138"/>
    </row>
    <row r="22" spans="1:9" ht="9" customHeight="1"/>
    <row r="23" spans="1:9" customFormat="1" ht="16.5">
      <c r="A23" s="576" t="s">
        <v>198</v>
      </c>
      <c r="B23" s="576"/>
      <c r="C23" s="576"/>
      <c r="D23" s="576"/>
      <c r="E23" s="576"/>
      <c r="F23" s="576"/>
      <c r="G23" s="576"/>
      <c r="H23" s="576"/>
      <c r="I23" s="576"/>
    </row>
    <row r="24" spans="1:9" customFormat="1" ht="15">
      <c r="A24" s="21"/>
      <c r="B24" s="21"/>
      <c r="C24" s="81"/>
      <c r="D24" s="81"/>
      <c r="E24" s="81"/>
      <c r="F24" s="390">
        <v>1451520</v>
      </c>
      <c r="G24" s="21"/>
      <c r="H24" s="21"/>
      <c r="I24" s="21"/>
    </row>
    <row r="25" spans="1:9" customFormat="1" ht="37.5">
      <c r="A25" s="137" t="s">
        <v>161</v>
      </c>
      <c r="B25" s="146" t="s">
        <v>144</v>
      </c>
      <c r="C25" s="125" t="s">
        <v>145</v>
      </c>
      <c r="D25" s="137" t="s">
        <v>146</v>
      </c>
    </row>
    <row r="26" spans="1:9" customFormat="1" ht="27" customHeight="1">
      <c r="A26" s="194">
        <v>1</v>
      </c>
      <c r="B26" s="196" t="s">
        <v>154</v>
      </c>
      <c r="C26" s="131">
        <v>0.6</v>
      </c>
      <c r="D26" s="119">
        <f>ROUND((F$21*C26),0)</f>
        <v>1266386</v>
      </c>
    </row>
    <row r="27" spans="1:9" customFormat="1" ht="29.25" customHeight="1">
      <c r="A27" s="194">
        <v>2</v>
      </c>
      <c r="B27" s="196" t="s">
        <v>235</v>
      </c>
      <c r="C27" s="131">
        <v>0.36</v>
      </c>
      <c r="D27" s="119">
        <f>ROUND((F$21*C27),0)</f>
        <v>759832</v>
      </c>
    </row>
    <row r="28" spans="1:9" customFormat="1" ht="37.5">
      <c r="A28" s="194">
        <v>3</v>
      </c>
      <c r="B28" s="196" t="s">
        <v>114</v>
      </c>
      <c r="C28" s="131">
        <v>0.42</v>
      </c>
      <c r="D28" s="119">
        <f>ROUND((F$21*C28),0)</f>
        <v>886470</v>
      </c>
    </row>
    <row r="29" spans="1:9">
      <c r="D29" s="141"/>
      <c r="G29" s="138"/>
      <c r="H29" s="138"/>
    </row>
  </sheetData>
  <mergeCells count="7">
    <mergeCell ref="A1:H1"/>
    <mergeCell ref="A2:C2"/>
    <mergeCell ref="B4:D4"/>
    <mergeCell ref="B19:D19"/>
    <mergeCell ref="A23:I23"/>
    <mergeCell ref="B20:D20"/>
    <mergeCell ref="B21:D21"/>
  </mergeCells>
  <printOptions horizontalCentered="1"/>
  <pageMargins left="0.25" right="0.25" top="0.25" bottom="0.25" header="0.27" footer="0.25"/>
  <pageSetup paperSize="9" scale="9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Zeros="0" topLeftCell="A10" zoomScale="85" zoomScaleNormal="85" workbookViewId="0">
      <selection activeCell="E8" sqref="E8"/>
    </sheetView>
  </sheetViews>
  <sheetFormatPr defaultRowHeight="18.75"/>
  <cols>
    <col min="1" max="1" width="7.5703125" style="139" customWidth="1"/>
    <col min="2" max="2" width="33.7109375" style="142" customWidth="1"/>
    <col min="3" max="3" width="22.7109375" style="139" customWidth="1"/>
    <col min="4" max="4" width="20.42578125" style="140" customWidth="1"/>
    <col min="5" max="5" width="25.85546875" style="141" customWidth="1"/>
    <col min="6" max="6" width="27" style="141" customWidth="1"/>
    <col min="7" max="8" width="17.7109375" style="141" customWidth="1"/>
    <col min="9" max="9" width="5" style="138" customWidth="1"/>
    <col min="10" max="16384" width="9.140625" style="138"/>
  </cols>
  <sheetData>
    <row r="1" spans="1:8" ht="21.75" customHeight="1">
      <c r="A1" s="622" t="s">
        <v>349</v>
      </c>
      <c r="B1" s="622"/>
      <c r="C1" s="622"/>
      <c r="D1" s="622"/>
      <c r="E1" s="622"/>
      <c r="F1" s="622"/>
      <c r="G1" s="622"/>
      <c r="H1" s="622"/>
    </row>
    <row r="2" spans="1:8" ht="21.75" customHeight="1">
      <c r="A2" s="626" t="s">
        <v>44</v>
      </c>
      <c r="B2" s="626"/>
      <c r="C2" s="626"/>
      <c r="D2" s="45"/>
      <c r="E2" s="45"/>
      <c r="F2" s="385" t="s">
        <v>215</v>
      </c>
      <c r="G2" s="54"/>
      <c r="H2" s="45"/>
    </row>
    <row r="3" spans="1:8">
      <c r="A3" s="45" t="s">
        <v>34</v>
      </c>
      <c r="B3" s="44" t="s">
        <v>77</v>
      </c>
    </row>
    <row r="4" spans="1:8" ht="24" customHeight="1">
      <c r="A4" s="45" t="s">
        <v>264</v>
      </c>
      <c r="B4" s="618" t="s">
        <v>115</v>
      </c>
      <c r="C4" s="618"/>
      <c r="D4" s="618"/>
    </row>
    <row r="5" spans="1:8" ht="5.25" customHeight="1"/>
    <row r="6" spans="1:8" ht="38.450000000000003" customHeight="1">
      <c r="A6" s="501" t="s">
        <v>2</v>
      </c>
      <c r="B6" s="501" t="s">
        <v>77</v>
      </c>
      <c r="C6" s="501" t="s">
        <v>48</v>
      </c>
      <c r="D6" s="501" t="s">
        <v>69</v>
      </c>
      <c r="E6" s="416" t="s">
        <v>281</v>
      </c>
      <c r="F6" s="416" t="s">
        <v>78</v>
      </c>
      <c r="G6" s="138"/>
      <c r="H6" s="138"/>
    </row>
    <row r="7" spans="1:8" ht="18.75" customHeight="1">
      <c r="A7" s="35" t="s">
        <v>7</v>
      </c>
      <c r="B7" s="36" t="s">
        <v>8</v>
      </c>
      <c r="C7" s="36" t="s">
        <v>9</v>
      </c>
      <c r="D7" s="36" t="s">
        <v>21</v>
      </c>
      <c r="E7" s="36" t="s">
        <v>52</v>
      </c>
      <c r="F7" s="38" t="s">
        <v>189</v>
      </c>
      <c r="G7" s="138"/>
      <c r="H7" s="138"/>
    </row>
    <row r="8" spans="1:8" ht="21.75" customHeight="1">
      <c r="A8" s="150">
        <v>1</v>
      </c>
      <c r="B8" s="210" t="s">
        <v>297</v>
      </c>
      <c r="C8" s="153" t="s">
        <v>197</v>
      </c>
      <c r="D8" s="482">
        <v>0.01</v>
      </c>
      <c r="E8" s="453">
        <v>4000</v>
      </c>
      <c r="F8" s="39">
        <f t="shared" ref="F8:F13" si="0">ROUND(D8*E8,0)</f>
        <v>40</v>
      </c>
      <c r="G8" s="138"/>
      <c r="H8" s="138"/>
    </row>
    <row r="9" spans="1:8" ht="21.95" customHeight="1">
      <c r="A9" s="160">
        <v>2</v>
      </c>
      <c r="B9" s="143" t="s">
        <v>82</v>
      </c>
      <c r="C9" s="454" t="s">
        <v>192</v>
      </c>
      <c r="D9" s="483">
        <v>0.04</v>
      </c>
      <c r="E9" s="480">
        <v>1400000</v>
      </c>
      <c r="F9" s="39">
        <f t="shared" si="0"/>
        <v>56000</v>
      </c>
      <c r="G9" s="138"/>
      <c r="H9" s="138"/>
    </row>
    <row r="10" spans="1:8" ht="21.95" customHeight="1">
      <c r="A10" s="151">
        <v>3</v>
      </c>
      <c r="B10" s="144" t="s">
        <v>81</v>
      </c>
      <c r="C10" s="161" t="s">
        <v>193</v>
      </c>
      <c r="D10" s="484">
        <v>1</v>
      </c>
      <c r="E10" s="481">
        <v>4000</v>
      </c>
      <c r="F10" s="39">
        <f t="shared" si="0"/>
        <v>4000</v>
      </c>
      <c r="G10" s="138"/>
      <c r="H10" s="138"/>
    </row>
    <row r="11" spans="1:8" ht="21.95" customHeight="1">
      <c r="A11" s="151">
        <v>4</v>
      </c>
      <c r="B11" s="143" t="s">
        <v>84</v>
      </c>
      <c r="C11" s="454" t="s">
        <v>190</v>
      </c>
      <c r="D11" s="483">
        <v>0.2</v>
      </c>
      <c r="E11" s="480">
        <v>75000</v>
      </c>
      <c r="F11" s="39">
        <f t="shared" si="0"/>
        <v>15000</v>
      </c>
      <c r="G11" s="138"/>
      <c r="H11" s="138"/>
    </row>
    <row r="12" spans="1:8" ht="21.95" customHeight="1">
      <c r="A12" s="158">
        <v>5</v>
      </c>
      <c r="B12" s="143" t="s">
        <v>87</v>
      </c>
      <c r="C12" s="454" t="s">
        <v>193</v>
      </c>
      <c r="D12" s="483">
        <v>1</v>
      </c>
      <c r="E12" s="480">
        <v>1000</v>
      </c>
      <c r="F12" s="39">
        <f t="shared" si="0"/>
        <v>1000</v>
      </c>
      <c r="G12" s="138"/>
      <c r="H12" s="138"/>
    </row>
    <row r="13" spans="1:8" ht="21.95" customHeight="1">
      <c r="A13" s="151">
        <v>6</v>
      </c>
      <c r="B13" s="159" t="s">
        <v>199</v>
      </c>
      <c r="C13" s="456" t="s">
        <v>191</v>
      </c>
      <c r="D13" s="483">
        <v>2</v>
      </c>
      <c r="E13" s="480">
        <v>4500</v>
      </c>
      <c r="F13" s="39">
        <f t="shared" si="0"/>
        <v>9000</v>
      </c>
      <c r="G13" s="138"/>
      <c r="H13" s="138"/>
    </row>
    <row r="14" spans="1:8" ht="27" customHeight="1">
      <c r="A14" s="41"/>
      <c r="B14" s="619" t="s">
        <v>287</v>
      </c>
      <c r="C14" s="620"/>
      <c r="D14" s="621"/>
      <c r="E14" s="457"/>
      <c r="F14" s="145">
        <f>SUM(F8:F13)</f>
        <v>85040</v>
      </c>
      <c r="G14" s="138"/>
      <c r="H14" s="138"/>
    </row>
    <row r="15" spans="1:8" ht="26.25" customHeight="1">
      <c r="A15" s="41"/>
      <c r="B15" s="624" t="s">
        <v>286</v>
      </c>
      <c r="C15" s="624"/>
      <c r="D15" s="624"/>
      <c r="E15" s="457"/>
      <c r="F15" s="145">
        <f>F14*0.08</f>
        <v>6803.2</v>
      </c>
      <c r="G15" s="138"/>
      <c r="H15" s="138"/>
    </row>
    <row r="16" spans="1:8" ht="24.75" customHeight="1">
      <c r="A16" s="200"/>
      <c r="B16" s="630" t="s">
        <v>65</v>
      </c>
      <c r="C16" s="630"/>
      <c r="D16" s="630"/>
      <c r="E16" s="307"/>
      <c r="F16" s="308">
        <f>F14+F15</f>
        <v>91843.199999999997</v>
      </c>
    </row>
    <row r="17" spans="1:9" ht="12.75" customHeight="1">
      <c r="A17" s="309"/>
      <c r="B17" s="310"/>
      <c r="C17" s="310"/>
      <c r="D17" s="310"/>
      <c r="E17" s="311"/>
      <c r="F17" s="312"/>
    </row>
    <row r="18" spans="1:9" s="459" customFormat="1" ht="27.75" customHeight="1">
      <c r="A18" s="625" t="s">
        <v>198</v>
      </c>
      <c r="B18" s="625"/>
      <c r="C18" s="625"/>
      <c r="D18" s="625"/>
      <c r="E18" s="625"/>
      <c r="F18" s="625"/>
      <c r="G18" s="625"/>
      <c r="H18" s="625"/>
      <c r="I18" s="625"/>
    </row>
    <row r="19" spans="1:9" s="459" customFormat="1" ht="15">
      <c r="A19" s="33"/>
      <c r="B19" s="33"/>
      <c r="C19" s="80"/>
      <c r="D19" s="80"/>
      <c r="E19" s="80"/>
      <c r="F19" s="33"/>
      <c r="G19" s="33"/>
      <c r="H19" s="33"/>
      <c r="I19" s="33"/>
    </row>
    <row r="20" spans="1:9" s="33" customFormat="1" ht="59.25" customHeight="1">
      <c r="A20" s="627" t="s">
        <v>144</v>
      </c>
      <c r="B20" s="627"/>
      <c r="C20" s="464" t="s">
        <v>145</v>
      </c>
      <c r="D20" s="463" t="s">
        <v>146</v>
      </c>
    </row>
    <row r="21" spans="1:9" s="33" customFormat="1" ht="30.75" customHeight="1">
      <c r="A21" s="628" t="s">
        <v>156</v>
      </c>
      <c r="B21" s="629"/>
      <c r="C21" s="465">
        <v>0.67</v>
      </c>
      <c r="D21" s="119">
        <f>ROUND((F$16*C21),0)</f>
        <v>61535</v>
      </c>
    </row>
    <row r="22" spans="1:9">
      <c r="D22" s="141"/>
      <c r="G22" s="138"/>
      <c r="H22" s="138"/>
    </row>
  </sheetData>
  <mergeCells count="9">
    <mergeCell ref="A20:B20"/>
    <mergeCell ref="A21:B21"/>
    <mergeCell ref="A1:H1"/>
    <mergeCell ref="A2:C2"/>
    <mergeCell ref="B4:D4"/>
    <mergeCell ref="B14:D14"/>
    <mergeCell ref="A18:I18"/>
    <mergeCell ref="B16:D16"/>
    <mergeCell ref="B15:D15"/>
  </mergeCells>
  <printOptions horizontalCentered="1"/>
  <pageMargins left="0.25" right="0.25" top="0.5" bottom="0.25" header="0.27" footer="0.25"/>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Zeros="0" tabSelected="1" zoomScale="85" zoomScaleNormal="85" workbookViewId="0">
      <selection activeCell="F24" sqref="F24"/>
    </sheetView>
  </sheetViews>
  <sheetFormatPr defaultRowHeight="18.75"/>
  <cols>
    <col min="1" max="1" width="7.5703125" style="139" customWidth="1"/>
    <col min="2" max="2" width="40.85546875" style="142" customWidth="1"/>
    <col min="3" max="3" width="22.7109375" style="139" customWidth="1"/>
    <col min="4" max="4" width="20.42578125" style="140" customWidth="1"/>
    <col min="5" max="5" width="25.85546875" style="141" customWidth="1"/>
    <col min="6" max="6" width="27" style="141" customWidth="1"/>
    <col min="7" max="8" width="17.7109375" style="141" customWidth="1"/>
    <col min="9" max="9" width="5" style="138" customWidth="1"/>
    <col min="10" max="16384" width="9.140625" style="138"/>
  </cols>
  <sheetData>
    <row r="1" spans="1:8" ht="20.25" customHeight="1">
      <c r="A1" s="622" t="s">
        <v>349</v>
      </c>
      <c r="B1" s="622"/>
      <c r="C1" s="622"/>
      <c r="D1" s="622"/>
      <c r="E1" s="622"/>
      <c r="F1" s="622"/>
      <c r="G1" s="622"/>
      <c r="H1" s="622"/>
    </row>
    <row r="2" spans="1:8" ht="19.5" customHeight="1">
      <c r="A2" s="626" t="s">
        <v>44</v>
      </c>
      <c r="B2" s="626"/>
      <c r="C2" s="626"/>
      <c r="D2" s="45"/>
      <c r="E2" s="45"/>
      <c r="F2" s="385" t="s">
        <v>216</v>
      </c>
      <c r="G2" s="54"/>
      <c r="H2" s="45"/>
    </row>
    <row r="3" spans="1:8" ht="17.25" customHeight="1">
      <c r="A3" s="45" t="s">
        <v>34</v>
      </c>
      <c r="B3" s="44" t="s">
        <v>77</v>
      </c>
    </row>
    <row r="4" spans="1:8" ht="18.75" customHeight="1">
      <c r="A4" s="45" t="s">
        <v>356</v>
      </c>
      <c r="B4" s="618" t="s">
        <v>116</v>
      </c>
      <c r="C4" s="618"/>
      <c r="D4" s="618"/>
    </row>
    <row r="5" spans="1:8" ht="5.25" customHeight="1"/>
    <row r="6" spans="1:8" ht="38.450000000000003" customHeight="1">
      <c r="A6" s="501" t="s">
        <v>2</v>
      </c>
      <c r="B6" s="501" t="s">
        <v>77</v>
      </c>
      <c r="C6" s="501" t="s">
        <v>250</v>
      </c>
      <c r="D6" s="501" t="s">
        <v>69</v>
      </c>
      <c r="E6" s="416" t="s">
        <v>281</v>
      </c>
      <c r="F6" s="416" t="s">
        <v>78</v>
      </c>
      <c r="G6" s="138"/>
      <c r="H6" s="138"/>
    </row>
    <row r="7" spans="1:8" ht="18.75" customHeight="1">
      <c r="A7" s="35" t="s">
        <v>7</v>
      </c>
      <c r="B7" s="36" t="s">
        <v>8</v>
      </c>
      <c r="C7" s="36" t="s">
        <v>9</v>
      </c>
      <c r="D7" s="36" t="s">
        <v>21</v>
      </c>
      <c r="E7" s="36" t="s">
        <v>52</v>
      </c>
      <c r="F7" s="38" t="s">
        <v>189</v>
      </c>
      <c r="G7" s="138"/>
      <c r="H7" s="138"/>
    </row>
    <row r="8" spans="1:8" ht="21.75" customHeight="1">
      <c r="A8" s="150">
        <v>1</v>
      </c>
      <c r="B8" s="152" t="s">
        <v>201</v>
      </c>
      <c r="C8" s="153" t="s">
        <v>197</v>
      </c>
      <c r="D8" s="482">
        <v>2</v>
      </c>
      <c r="E8" s="453">
        <v>12000</v>
      </c>
      <c r="F8" s="39">
        <f t="shared" ref="F8:F14" si="0">ROUND(D8*E8,0)</f>
        <v>24000</v>
      </c>
      <c r="G8" s="138"/>
      <c r="H8" s="138"/>
    </row>
    <row r="9" spans="1:8" ht="21.95" customHeight="1">
      <c r="A9" s="160">
        <v>2</v>
      </c>
      <c r="B9" s="143" t="s">
        <v>82</v>
      </c>
      <c r="C9" s="454" t="s">
        <v>192</v>
      </c>
      <c r="D9" s="483">
        <v>2</v>
      </c>
      <c r="E9" s="143">
        <v>1400000</v>
      </c>
      <c r="F9" s="39">
        <f t="shared" si="0"/>
        <v>2800000</v>
      </c>
      <c r="G9" s="138"/>
      <c r="H9" s="138"/>
    </row>
    <row r="10" spans="1:8" ht="21.95" customHeight="1">
      <c r="A10" s="151">
        <v>3</v>
      </c>
      <c r="B10" s="144" t="s">
        <v>81</v>
      </c>
      <c r="C10" s="161" t="s">
        <v>193</v>
      </c>
      <c r="D10" s="484">
        <v>10</v>
      </c>
      <c r="E10" s="144">
        <v>4000</v>
      </c>
      <c r="F10" s="39">
        <f t="shared" si="0"/>
        <v>40000</v>
      </c>
      <c r="G10" s="138"/>
      <c r="H10" s="138"/>
    </row>
    <row r="11" spans="1:8" ht="21.95" customHeight="1">
      <c r="A11" s="151">
        <v>4</v>
      </c>
      <c r="B11" s="143" t="s">
        <v>84</v>
      </c>
      <c r="C11" s="454" t="s">
        <v>190</v>
      </c>
      <c r="D11" s="483">
        <v>10</v>
      </c>
      <c r="E11" s="143">
        <v>75000</v>
      </c>
      <c r="F11" s="39">
        <f t="shared" si="0"/>
        <v>750000</v>
      </c>
      <c r="G11" s="138"/>
      <c r="H11" s="138"/>
    </row>
    <row r="12" spans="1:8" ht="21.95" customHeight="1">
      <c r="A12" s="151">
        <v>5</v>
      </c>
      <c r="B12" s="143" t="s">
        <v>187</v>
      </c>
      <c r="C12" s="454" t="s">
        <v>192</v>
      </c>
      <c r="D12" s="483">
        <v>9</v>
      </c>
      <c r="E12" s="143">
        <v>24000</v>
      </c>
      <c r="F12" s="39">
        <f t="shared" si="0"/>
        <v>216000</v>
      </c>
      <c r="G12" s="138"/>
      <c r="H12" s="138"/>
    </row>
    <row r="13" spans="1:8" ht="21.95" customHeight="1">
      <c r="A13" s="151">
        <v>6</v>
      </c>
      <c r="B13" s="143" t="s">
        <v>87</v>
      </c>
      <c r="C13" s="454" t="s">
        <v>193</v>
      </c>
      <c r="D13" s="483">
        <v>10</v>
      </c>
      <c r="E13" s="143">
        <v>1000</v>
      </c>
      <c r="F13" s="39">
        <f t="shared" si="0"/>
        <v>10000</v>
      </c>
      <c r="G13" s="138"/>
      <c r="H13" s="138"/>
    </row>
    <row r="14" spans="1:8" ht="21.95" customHeight="1">
      <c r="A14" s="158">
        <v>7</v>
      </c>
      <c r="B14" s="143" t="s">
        <v>199</v>
      </c>
      <c r="C14" s="454" t="s">
        <v>191</v>
      </c>
      <c r="D14" s="483">
        <v>30</v>
      </c>
      <c r="E14" s="143">
        <v>4500</v>
      </c>
      <c r="F14" s="39">
        <f t="shared" si="0"/>
        <v>135000</v>
      </c>
      <c r="G14" s="138"/>
      <c r="H14" s="138"/>
    </row>
    <row r="15" spans="1:8" ht="24" customHeight="1">
      <c r="A15" s="41"/>
      <c r="B15" s="619" t="s">
        <v>289</v>
      </c>
      <c r="C15" s="620"/>
      <c r="D15" s="621"/>
      <c r="E15" s="457"/>
      <c r="F15" s="145">
        <f>SUM(F8:F14)</f>
        <v>3975000</v>
      </c>
      <c r="G15" s="138"/>
      <c r="H15" s="138"/>
    </row>
    <row r="16" spans="1:8" ht="25.5" customHeight="1">
      <c r="A16" s="41"/>
      <c r="B16" s="624" t="s">
        <v>288</v>
      </c>
      <c r="C16" s="624"/>
      <c r="D16" s="624"/>
      <c r="E16" s="457"/>
      <c r="F16" s="145">
        <f>F15*0.08</f>
        <v>318000</v>
      </c>
      <c r="G16" s="138"/>
      <c r="H16" s="138"/>
    </row>
    <row r="17" spans="1:9" ht="25.5" customHeight="1">
      <c r="A17" s="41"/>
      <c r="B17" s="624" t="s">
        <v>65</v>
      </c>
      <c r="C17" s="624"/>
      <c r="D17" s="624"/>
      <c r="E17" s="457"/>
      <c r="F17" s="145">
        <f>F15+F16</f>
        <v>4293000</v>
      </c>
      <c r="G17" s="138"/>
      <c r="H17" s="138"/>
    </row>
    <row r="18" spans="1:9" ht="11.25" customHeight="1"/>
    <row r="19" spans="1:9" s="459" customFormat="1" ht="16.5">
      <c r="A19" s="625" t="s">
        <v>198</v>
      </c>
      <c r="B19" s="625"/>
      <c r="C19" s="625"/>
      <c r="D19" s="625"/>
      <c r="E19" s="625"/>
      <c r="F19" s="625"/>
      <c r="G19" s="625"/>
      <c r="H19" s="625"/>
      <c r="I19" s="625"/>
    </row>
    <row r="20" spans="1:9" s="459" customFormat="1" ht="6" customHeight="1">
      <c r="A20" s="33"/>
      <c r="B20" s="33"/>
      <c r="C20" s="80"/>
      <c r="D20" s="80"/>
      <c r="E20" s="80"/>
      <c r="F20" s="33"/>
      <c r="G20" s="33"/>
      <c r="H20" s="33"/>
      <c r="I20" s="33"/>
    </row>
    <row r="21" spans="1:9" s="33" customFormat="1" ht="48.75" customHeight="1">
      <c r="A21" s="463" t="s">
        <v>161</v>
      </c>
      <c r="B21" s="466" t="s">
        <v>144</v>
      </c>
      <c r="C21" s="464" t="s">
        <v>145</v>
      </c>
      <c r="D21" s="463" t="s">
        <v>146</v>
      </c>
    </row>
    <row r="22" spans="1:9" s="33" customFormat="1" ht="48" customHeight="1">
      <c r="A22" s="631" t="s">
        <v>160</v>
      </c>
      <c r="B22" s="632"/>
      <c r="C22" s="468">
        <v>0.77</v>
      </c>
      <c r="D22" s="119">
        <f>ROUND((F$17*C22),0)</f>
        <v>3305610</v>
      </c>
    </row>
    <row r="23" spans="1:9" s="33" customFormat="1" ht="18.75" customHeight="1">
      <c r="A23" s="469">
        <v>1</v>
      </c>
      <c r="B23" s="470" t="s">
        <v>157</v>
      </c>
      <c r="C23" s="465">
        <v>0.23</v>
      </c>
      <c r="D23" s="119">
        <f>ROUND((F$17*C23),0)</f>
        <v>987390</v>
      </c>
    </row>
    <row r="24" spans="1:9" s="33" customFormat="1" ht="18.75" customHeight="1">
      <c r="A24" s="469">
        <v>2</v>
      </c>
      <c r="B24" s="470" t="s">
        <v>158</v>
      </c>
      <c r="C24" s="465"/>
      <c r="D24" s="119">
        <f>ROUND((F$17*C24),0)</f>
        <v>0</v>
      </c>
    </row>
    <row r="25" spans="1:9" s="33" customFormat="1" ht="37.5">
      <c r="A25" s="469" t="s">
        <v>32</v>
      </c>
      <c r="B25" s="467" t="s">
        <v>159</v>
      </c>
      <c r="C25" s="465">
        <v>0.23</v>
      </c>
      <c r="D25" s="119">
        <f>ROUND((F$17*C25),0)</f>
        <v>987390</v>
      </c>
    </row>
    <row r="26" spans="1:9" ht="37.5">
      <c r="A26" s="469" t="s">
        <v>33</v>
      </c>
      <c r="B26" s="471" t="s">
        <v>234</v>
      </c>
      <c r="C26" s="472">
        <v>0.31</v>
      </c>
      <c r="D26" s="119">
        <f>ROUND((F$17*C26),0)</f>
        <v>1330830</v>
      </c>
      <c r="G26" s="138"/>
      <c r="H26" s="138"/>
    </row>
  </sheetData>
  <mergeCells count="8">
    <mergeCell ref="B16:D16"/>
    <mergeCell ref="B17:D17"/>
    <mergeCell ref="B15:D15"/>
    <mergeCell ref="A19:I19"/>
    <mergeCell ref="A22:B22"/>
    <mergeCell ref="A1:H1"/>
    <mergeCell ref="A2:C2"/>
    <mergeCell ref="B4:D4"/>
  </mergeCells>
  <printOptions horizontalCentered="1"/>
  <pageMargins left="0.25" right="0.25" top="0.5" bottom="0.25" header="0.27" footer="0.25"/>
  <pageSetup paperSize="9" scale="9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92"/>
  <sheetViews>
    <sheetView zoomScale="90" zoomScaleNormal="90" workbookViewId="0">
      <selection activeCell="D7" sqref="D7"/>
    </sheetView>
  </sheetViews>
  <sheetFormatPr defaultRowHeight="15"/>
  <cols>
    <col min="1" max="1" width="8.7109375" style="81" customWidth="1"/>
    <col min="2" max="2" width="48.85546875" style="81" customWidth="1"/>
    <col min="3" max="3" width="12" style="170" customWidth="1"/>
    <col min="4" max="5" width="11" style="164" customWidth="1"/>
    <col min="6" max="6" width="11.7109375" style="164" customWidth="1"/>
    <col min="7" max="7" width="12.28515625" style="172" customWidth="1"/>
    <col min="8" max="8" width="12.5703125" style="172" customWidth="1"/>
    <col min="9" max="9" width="13.140625" style="164" customWidth="1"/>
    <col min="10" max="10" width="11" style="81" customWidth="1"/>
    <col min="11" max="11" width="11.5703125" style="81" customWidth="1"/>
    <col min="12" max="12" width="12" style="81" customWidth="1"/>
    <col min="13" max="13" width="11.7109375" style="81" customWidth="1"/>
    <col min="14" max="16384" width="9.140625" style="81"/>
  </cols>
  <sheetData>
    <row r="1" spans="1:13" ht="24" customHeight="1">
      <c r="A1" s="575" t="s">
        <v>349</v>
      </c>
      <c r="B1" s="575"/>
      <c r="C1" s="575"/>
      <c r="D1" s="575"/>
      <c r="E1" s="575"/>
      <c r="F1" s="116"/>
    </row>
    <row r="2" spans="1:13" ht="30" customHeight="1">
      <c r="A2" s="639" t="s">
        <v>357</v>
      </c>
      <c r="B2" s="639"/>
      <c r="C2" s="639"/>
      <c r="D2" s="639"/>
      <c r="E2" s="639"/>
      <c r="F2" s="639"/>
      <c r="G2" s="639"/>
      <c r="H2" s="639"/>
      <c r="I2" s="639"/>
      <c r="J2" s="639"/>
      <c r="K2" s="639"/>
      <c r="L2" s="639"/>
      <c r="M2" s="639"/>
    </row>
    <row r="3" spans="1:13" ht="18.75" customHeight="1">
      <c r="A3" s="32"/>
      <c r="B3" s="165"/>
      <c r="C3" s="169"/>
      <c r="D3" s="166"/>
      <c r="L3" s="649" t="s">
        <v>242</v>
      </c>
      <c r="M3" s="649"/>
    </row>
    <row r="4" spans="1:13" ht="25.5" customHeight="1">
      <c r="A4" s="635" t="s">
        <v>46</v>
      </c>
      <c r="B4" s="635" t="s">
        <v>15</v>
      </c>
      <c r="C4" s="637" t="s">
        <v>251</v>
      </c>
      <c r="D4" s="640" t="s">
        <v>246</v>
      </c>
      <c r="E4" s="633" t="s">
        <v>247</v>
      </c>
      <c r="F4" s="634"/>
      <c r="G4" s="647" t="s">
        <v>245</v>
      </c>
      <c r="H4" s="642" t="s">
        <v>252</v>
      </c>
      <c r="I4" s="643"/>
      <c r="J4" s="644" t="s">
        <v>243</v>
      </c>
      <c r="K4" s="645"/>
      <c r="L4" s="646" t="s">
        <v>367</v>
      </c>
      <c r="M4" s="646"/>
    </row>
    <row r="5" spans="1:13" ht="42.75">
      <c r="A5" s="636"/>
      <c r="B5" s="636"/>
      <c r="C5" s="638"/>
      <c r="D5" s="641"/>
      <c r="E5" s="204" t="s">
        <v>232</v>
      </c>
      <c r="F5" s="205" t="s">
        <v>233</v>
      </c>
      <c r="G5" s="648"/>
      <c r="H5" s="503" t="s">
        <v>365</v>
      </c>
      <c r="I5" s="503" t="s">
        <v>368</v>
      </c>
      <c r="J5" s="417" t="s">
        <v>365</v>
      </c>
      <c r="K5" s="417" t="s">
        <v>366</v>
      </c>
      <c r="L5" s="417" t="s">
        <v>365</v>
      </c>
      <c r="M5" s="417" t="s">
        <v>366</v>
      </c>
    </row>
    <row r="6" spans="1:13" ht="29.25" customHeight="1">
      <c r="A6" s="475" t="s">
        <v>248</v>
      </c>
      <c r="B6" s="475" t="s">
        <v>249</v>
      </c>
      <c r="C6" s="476" t="s">
        <v>7</v>
      </c>
      <c r="D6" s="477" t="s">
        <v>8</v>
      </c>
      <c r="E6" s="477" t="s">
        <v>9</v>
      </c>
      <c r="F6" s="478" t="s">
        <v>21</v>
      </c>
      <c r="G6" s="477" t="s">
        <v>52</v>
      </c>
      <c r="H6" s="477" t="s">
        <v>363</v>
      </c>
      <c r="I6" s="477" t="s">
        <v>358</v>
      </c>
      <c r="J6" s="61" t="s">
        <v>359</v>
      </c>
      <c r="K6" s="507" t="s">
        <v>360</v>
      </c>
      <c r="L6" s="504" t="s">
        <v>361</v>
      </c>
      <c r="M6" s="505" t="s">
        <v>362</v>
      </c>
    </row>
    <row r="7" spans="1:13" ht="15.75">
      <c r="A7" s="511">
        <v>1</v>
      </c>
      <c r="B7" s="512" t="s">
        <v>298</v>
      </c>
      <c r="C7" s="513">
        <f>Lao_dong_KT!N7</f>
        <v>208928</v>
      </c>
      <c r="D7" s="514">
        <f>'Dung cu (2.1.1)'!F25</f>
        <v>2576</v>
      </c>
      <c r="E7" s="514">
        <f>'Thiet bi (2.2.1)'!F21</f>
        <v>637</v>
      </c>
      <c r="F7" s="514">
        <f>'Thiet bi (2.2.1)'!G21</f>
        <v>6379</v>
      </c>
      <c r="G7" s="514">
        <f>'Vat lieu (2.3.1)'!E23</f>
        <v>24434</v>
      </c>
      <c r="H7" s="514">
        <f>ROUND((C7+D7+F7+G7),0)</f>
        <v>242317</v>
      </c>
      <c r="I7" s="514">
        <f>ROUND((SUM(C7:G7)),0)</f>
        <v>242954</v>
      </c>
      <c r="J7" s="526">
        <f>ROUND((H7*20%),0)</f>
        <v>48463</v>
      </c>
      <c r="K7" s="526">
        <f>ROUND((I7*20%),0)</f>
        <v>48591</v>
      </c>
      <c r="L7" s="526">
        <f>ROUND((H7+J7),0)</f>
        <v>290780</v>
      </c>
      <c r="M7" s="526">
        <f>ROUND((I7+K7),0)</f>
        <v>291545</v>
      </c>
    </row>
    <row r="8" spans="1:13" ht="31.5">
      <c r="A8" s="264">
        <v>2</v>
      </c>
      <c r="B8" s="515" t="s">
        <v>99</v>
      </c>
      <c r="C8" s="513">
        <f>Lao_dong_KT!N8</f>
        <v>931470</v>
      </c>
      <c r="D8" s="514">
        <f>'Dung cu (2.1.2)'!F25</f>
        <v>14242</v>
      </c>
      <c r="E8" s="514">
        <f>'Thiet bi (2.2.2)'!F21</f>
        <v>15281</v>
      </c>
      <c r="F8" s="514">
        <f>'Thiet bi (2.2.2)'!G21</f>
        <v>61750</v>
      </c>
      <c r="G8" s="514">
        <f>'Vat lieu (2.3.2)'!E24</f>
        <v>460210</v>
      </c>
      <c r="H8" s="514">
        <f t="shared" ref="H8:H67" si="0">ROUND((C8+D8+F8+G8),0)</f>
        <v>1467672</v>
      </c>
      <c r="I8" s="514">
        <f t="shared" ref="I8:I67" si="1">ROUND((SUM(C8:G8)),0)</f>
        <v>1482953</v>
      </c>
      <c r="J8" s="526">
        <f t="shared" ref="J8:J67" si="2">ROUND((H8*20%),0)</f>
        <v>293534</v>
      </c>
      <c r="K8" s="526">
        <f t="shared" ref="K8:K67" si="3">ROUND((I8*20%),0)</f>
        <v>296591</v>
      </c>
      <c r="L8" s="526">
        <f t="shared" ref="L8:L67" si="4">ROUND((H8+J8),0)</f>
        <v>1761206</v>
      </c>
      <c r="M8" s="526">
        <f t="shared" ref="M8:M67" si="5">ROUND((I8+K8),0)</f>
        <v>1779544</v>
      </c>
    </row>
    <row r="9" spans="1:13" ht="15.75">
      <c r="A9" s="264">
        <v>3</v>
      </c>
      <c r="B9" s="515" t="s">
        <v>100</v>
      </c>
      <c r="C9" s="513">
        <f>Lao_dong_KT!N9</f>
        <v>18099689</v>
      </c>
      <c r="D9" s="514">
        <f>'Dung cu (2.1.3)'!E26</f>
        <v>256546</v>
      </c>
      <c r="E9" s="514">
        <f>'Thiet bi (2.2.3)'!E22</f>
        <v>117417</v>
      </c>
      <c r="F9" s="514">
        <f>'Thiet bi (2.2.3)'!F22</f>
        <v>787872</v>
      </c>
      <c r="G9" s="514">
        <f>'Vat lieu (2.3.3)'!E29</f>
        <v>2383993</v>
      </c>
      <c r="H9" s="514">
        <f t="shared" si="0"/>
        <v>21528100</v>
      </c>
      <c r="I9" s="514">
        <f t="shared" si="1"/>
        <v>21645517</v>
      </c>
      <c r="J9" s="526">
        <f t="shared" si="2"/>
        <v>4305620</v>
      </c>
      <c r="K9" s="526">
        <f t="shared" si="3"/>
        <v>4329103</v>
      </c>
      <c r="L9" s="526">
        <f t="shared" si="4"/>
        <v>25833720</v>
      </c>
      <c r="M9" s="526">
        <f t="shared" si="5"/>
        <v>25974620</v>
      </c>
    </row>
    <row r="10" spans="1:13" ht="15.75">
      <c r="A10" s="516" t="s">
        <v>40</v>
      </c>
      <c r="B10" s="517" t="s">
        <v>100</v>
      </c>
      <c r="C10" s="519">
        <f>Lao_dong_KT!N10</f>
        <v>415784</v>
      </c>
      <c r="D10" s="520">
        <f>'Dung cu (2.1.3)'!E27</f>
        <v>5787</v>
      </c>
      <c r="E10" s="520">
        <f>'Thiet bi (2.2.3)'!E23</f>
        <v>2649</v>
      </c>
      <c r="F10" s="520">
        <f>'Thiet bi (2.2.3)'!F23</f>
        <v>17772</v>
      </c>
      <c r="G10" s="520">
        <f>'Vat lieu (2.3.3)'!E30</f>
        <v>53774</v>
      </c>
      <c r="H10" s="520">
        <f t="shared" si="0"/>
        <v>493117</v>
      </c>
      <c r="I10" s="520">
        <f t="shared" si="1"/>
        <v>495766</v>
      </c>
      <c r="J10" s="506">
        <f t="shared" si="2"/>
        <v>98623</v>
      </c>
      <c r="K10" s="506">
        <f t="shared" si="3"/>
        <v>99153</v>
      </c>
      <c r="L10" s="506">
        <f t="shared" si="4"/>
        <v>591740</v>
      </c>
      <c r="M10" s="506">
        <f t="shared" si="5"/>
        <v>594919</v>
      </c>
    </row>
    <row r="11" spans="1:13" ht="15.75">
      <c r="A11" s="122" t="s">
        <v>129</v>
      </c>
      <c r="B11" s="518" t="s">
        <v>225</v>
      </c>
      <c r="C11" s="519">
        <f>Lao_dong_KT!N11</f>
        <v>415784</v>
      </c>
      <c r="D11" s="520">
        <f>'Dung cu (2.1.3)'!E28</f>
        <v>5787</v>
      </c>
      <c r="E11" s="520">
        <f>'Thiet bi (2.2.3)'!E24</f>
        <v>2649</v>
      </c>
      <c r="F11" s="520">
        <f>'Thiet bi (2.2.3)'!F24</f>
        <v>17772</v>
      </c>
      <c r="G11" s="520">
        <f>'Vat lieu (2.3.3)'!E31</f>
        <v>53774</v>
      </c>
      <c r="H11" s="520">
        <f t="shared" si="0"/>
        <v>493117</v>
      </c>
      <c r="I11" s="520">
        <f t="shared" si="1"/>
        <v>495766</v>
      </c>
      <c r="J11" s="506">
        <f t="shared" si="2"/>
        <v>98623</v>
      </c>
      <c r="K11" s="506">
        <f t="shared" si="3"/>
        <v>99153</v>
      </c>
      <c r="L11" s="506">
        <f t="shared" si="4"/>
        <v>591740</v>
      </c>
      <c r="M11" s="506">
        <f t="shared" si="5"/>
        <v>594919</v>
      </c>
    </row>
    <row r="12" spans="1:13" ht="15.75">
      <c r="A12" s="122" t="s">
        <v>130</v>
      </c>
      <c r="B12" s="518" t="s">
        <v>226</v>
      </c>
      <c r="C12" s="519">
        <f>Lao_dong_KT!N12</f>
        <v>207892</v>
      </c>
      <c r="D12" s="520">
        <f>'Dung cu (2.1.3)'!E29</f>
        <v>2893</v>
      </c>
      <c r="E12" s="520">
        <f>'Thiet bi (2.2.3)'!E25</f>
        <v>1324</v>
      </c>
      <c r="F12" s="520">
        <f>'Thiet bi (2.2.3)'!F25</f>
        <v>8886</v>
      </c>
      <c r="G12" s="520">
        <f>'Vat lieu (2.3.3)'!E32</f>
        <v>26887</v>
      </c>
      <c r="H12" s="520">
        <f t="shared" si="0"/>
        <v>246558</v>
      </c>
      <c r="I12" s="520">
        <f t="shared" si="1"/>
        <v>247882</v>
      </c>
      <c r="J12" s="506">
        <f t="shared" si="2"/>
        <v>49312</v>
      </c>
      <c r="K12" s="506">
        <f t="shared" si="3"/>
        <v>49576</v>
      </c>
      <c r="L12" s="506">
        <f t="shared" si="4"/>
        <v>295870</v>
      </c>
      <c r="M12" s="506">
        <f t="shared" si="5"/>
        <v>297458</v>
      </c>
    </row>
    <row r="13" spans="1:13" ht="15.75">
      <c r="A13" s="122" t="s">
        <v>131</v>
      </c>
      <c r="B13" s="518" t="s">
        <v>227</v>
      </c>
      <c r="C13" s="519">
        <f>Lao_dong_KT!N13</f>
        <v>249470</v>
      </c>
      <c r="D13" s="520">
        <f>'Dung cu (2.1.3)'!E30</f>
        <v>3472</v>
      </c>
      <c r="E13" s="520">
        <f>'Thiet bi (2.2.3)'!E26</f>
        <v>1589</v>
      </c>
      <c r="F13" s="520">
        <f>'Thiet bi (2.2.3)'!F26</f>
        <v>10663</v>
      </c>
      <c r="G13" s="520">
        <f>'Vat lieu (2.3.3)'!E33</f>
        <v>32265</v>
      </c>
      <c r="H13" s="520">
        <f t="shared" si="0"/>
        <v>295870</v>
      </c>
      <c r="I13" s="520">
        <f t="shared" si="1"/>
        <v>297459</v>
      </c>
      <c r="J13" s="506">
        <f t="shared" si="2"/>
        <v>59174</v>
      </c>
      <c r="K13" s="506">
        <f t="shared" si="3"/>
        <v>59492</v>
      </c>
      <c r="L13" s="506">
        <f t="shared" si="4"/>
        <v>355044</v>
      </c>
      <c r="M13" s="506">
        <f t="shared" si="5"/>
        <v>356951</v>
      </c>
    </row>
    <row r="14" spans="1:13" ht="15.75">
      <c r="A14" s="122" t="s">
        <v>132</v>
      </c>
      <c r="B14" s="518" t="s">
        <v>228</v>
      </c>
      <c r="C14" s="519">
        <f>Lao_dong_KT!N14</f>
        <v>291049</v>
      </c>
      <c r="D14" s="520">
        <f>'Dung cu (2.1.3)'!E31</f>
        <v>4051</v>
      </c>
      <c r="E14" s="520">
        <f>'Thiet bi (2.2.3)'!E27</f>
        <v>1854</v>
      </c>
      <c r="F14" s="520">
        <f>'Thiet bi (2.2.3)'!F27</f>
        <v>12440</v>
      </c>
      <c r="G14" s="520">
        <f>'Vat lieu (2.3.3)'!E34</f>
        <v>37642</v>
      </c>
      <c r="H14" s="520">
        <f t="shared" si="0"/>
        <v>345182</v>
      </c>
      <c r="I14" s="520">
        <f t="shared" si="1"/>
        <v>347036</v>
      </c>
      <c r="J14" s="506">
        <f t="shared" si="2"/>
        <v>69036</v>
      </c>
      <c r="K14" s="506">
        <f t="shared" si="3"/>
        <v>69407</v>
      </c>
      <c r="L14" s="506">
        <f t="shared" si="4"/>
        <v>414218</v>
      </c>
      <c r="M14" s="506">
        <f t="shared" si="5"/>
        <v>416443</v>
      </c>
    </row>
    <row r="15" spans="1:13" ht="15.75">
      <c r="A15" s="122" t="s">
        <v>230</v>
      </c>
      <c r="B15" s="518" t="s">
        <v>229</v>
      </c>
      <c r="C15" s="519">
        <f>Lao_dong_KT!N15</f>
        <v>207892</v>
      </c>
      <c r="D15" s="520">
        <f>'Dung cu (2.1.3)'!E32</f>
        <v>2893</v>
      </c>
      <c r="E15" s="520">
        <f>'Thiet bi (2.2.3)'!E28</f>
        <v>1324</v>
      </c>
      <c r="F15" s="520">
        <f>'Thiet bi (2.2.3)'!F28</f>
        <v>8886</v>
      </c>
      <c r="G15" s="520">
        <f>'Vat lieu (2.3.3)'!E35</f>
        <v>26887</v>
      </c>
      <c r="H15" s="520">
        <f t="shared" si="0"/>
        <v>246558</v>
      </c>
      <c r="I15" s="520">
        <f t="shared" si="1"/>
        <v>247882</v>
      </c>
      <c r="J15" s="506">
        <f t="shared" si="2"/>
        <v>49312</v>
      </c>
      <c r="K15" s="506">
        <f t="shared" si="3"/>
        <v>49576</v>
      </c>
      <c r="L15" s="506">
        <f t="shared" si="4"/>
        <v>295870</v>
      </c>
      <c r="M15" s="506">
        <f t="shared" si="5"/>
        <v>297458</v>
      </c>
    </row>
    <row r="16" spans="1:13" ht="15.75">
      <c r="A16" s="516" t="s">
        <v>41</v>
      </c>
      <c r="B16" s="517" t="s">
        <v>102</v>
      </c>
      <c r="C16" s="519">
        <f>Lao_dong_KT!N16</f>
        <v>7719625</v>
      </c>
      <c r="D16" s="520">
        <f>'Dung cu (2.1.3)'!E33</f>
        <v>109466</v>
      </c>
      <c r="E16" s="520">
        <f>'Thiet bi (2.2.3)'!E29</f>
        <v>50101</v>
      </c>
      <c r="F16" s="520">
        <f>'Thiet bi (2.2.3)'!F29</f>
        <v>609822</v>
      </c>
      <c r="G16" s="520">
        <f>'Vat lieu (2.3.3)'!E36</f>
        <v>1017230</v>
      </c>
      <c r="H16" s="520">
        <f t="shared" si="0"/>
        <v>9456143</v>
      </c>
      <c r="I16" s="520">
        <f t="shared" si="1"/>
        <v>9506244</v>
      </c>
      <c r="J16" s="506">
        <f t="shared" si="2"/>
        <v>1891229</v>
      </c>
      <c r="K16" s="506">
        <f t="shared" si="3"/>
        <v>1901249</v>
      </c>
      <c r="L16" s="506">
        <f t="shared" si="4"/>
        <v>11347372</v>
      </c>
      <c r="M16" s="506">
        <f t="shared" si="5"/>
        <v>11407493</v>
      </c>
    </row>
    <row r="17" spans="1:13" ht="15.75">
      <c r="A17" s="122" t="s">
        <v>282</v>
      </c>
      <c r="B17" s="518" t="s">
        <v>103</v>
      </c>
      <c r="C17" s="519">
        <f>Lao_dong_KT!N17</f>
        <v>851921</v>
      </c>
      <c r="D17" s="520">
        <f>'Dung cu (2.1.3)'!E34</f>
        <v>12056</v>
      </c>
      <c r="E17" s="520">
        <f>'Thiet bi (2.2.3)'!E30</f>
        <v>5518</v>
      </c>
      <c r="F17" s="520">
        <f>'Thiet bi (2.2.3)'!F30</f>
        <v>66699</v>
      </c>
      <c r="G17" s="520">
        <f>'Vat lieu (2.3.3)'!E37</f>
        <v>112030</v>
      </c>
      <c r="H17" s="520">
        <f t="shared" si="0"/>
        <v>1042706</v>
      </c>
      <c r="I17" s="520">
        <f t="shared" si="1"/>
        <v>1048224</v>
      </c>
      <c r="J17" s="506">
        <f t="shared" si="2"/>
        <v>208541</v>
      </c>
      <c r="K17" s="506">
        <f t="shared" si="3"/>
        <v>209645</v>
      </c>
      <c r="L17" s="506">
        <f t="shared" si="4"/>
        <v>1251247</v>
      </c>
      <c r="M17" s="506">
        <f t="shared" si="5"/>
        <v>1257869</v>
      </c>
    </row>
    <row r="18" spans="1:13" ht="15.75">
      <c r="A18" s="122" t="s">
        <v>283</v>
      </c>
      <c r="B18" s="518" t="s">
        <v>104</v>
      </c>
      <c r="C18" s="519">
        <f>Lao_dong_KT!N18</f>
        <v>2564486</v>
      </c>
      <c r="D18" s="520">
        <f>'Dung cu (2.1.3)'!E35</f>
        <v>36649</v>
      </c>
      <c r="E18" s="520">
        <f>'Thiet bi (2.2.3)'!E31</f>
        <v>16774</v>
      </c>
      <c r="F18" s="520">
        <f>'Thiet bi (2.2.3)'!F31</f>
        <v>204862</v>
      </c>
      <c r="G18" s="520">
        <f>'Vat lieu (2.3.3)'!E38</f>
        <v>340570</v>
      </c>
      <c r="H18" s="520">
        <f t="shared" si="0"/>
        <v>3146567</v>
      </c>
      <c r="I18" s="520">
        <f t="shared" si="1"/>
        <v>3163341</v>
      </c>
      <c r="J18" s="506">
        <f t="shared" si="2"/>
        <v>629313</v>
      </c>
      <c r="K18" s="506">
        <f t="shared" si="3"/>
        <v>632668</v>
      </c>
      <c r="L18" s="506">
        <f t="shared" si="4"/>
        <v>3775880</v>
      </c>
      <c r="M18" s="506">
        <f t="shared" si="5"/>
        <v>3796009</v>
      </c>
    </row>
    <row r="19" spans="1:13" ht="15.75">
      <c r="A19" s="122" t="s">
        <v>299</v>
      </c>
      <c r="B19" s="518" t="s">
        <v>105</v>
      </c>
      <c r="C19" s="519">
        <f>Lao_dong_KT!N19</f>
        <v>3262305</v>
      </c>
      <c r="D19" s="520">
        <f>'Dung cu (2.1.3)'!E36</f>
        <v>46294</v>
      </c>
      <c r="E19" s="520">
        <f>'Thiet bi (2.2.3)'!E32</f>
        <v>21188</v>
      </c>
      <c r="F19" s="520">
        <f>'Thiet bi (2.2.3)'!F32</f>
        <v>257269</v>
      </c>
      <c r="G19" s="520">
        <f>'Vat lieu (2.3.3)'!E39</f>
        <v>430194</v>
      </c>
      <c r="H19" s="520">
        <f t="shared" si="0"/>
        <v>3996062</v>
      </c>
      <c r="I19" s="520">
        <f t="shared" si="1"/>
        <v>4017250</v>
      </c>
      <c r="J19" s="506">
        <f t="shared" si="2"/>
        <v>799212</v>
      </c>
      <c r="K19" s="506">
        <f t="shared" si="3"/>
        <v>803450</v>
      </c>
      <c r="L19" s="506">
        <f t="shared" si="4"/>
        <v>4795274</v>
      </c>
      <c r="M19" s="506">
        <f t="shared" si="5"/>
        <v>4820700</v>
      </c>
    </row>
    <row r="20" spans="1:13" ht="15.75">
      <c r="A20" s="122" t="s">
        <v>300</v>
      </c>
      <c r="B20" s="522" t="s">
        <v>106</v>
      </c>
      <c r="C20" s="519">
        <f>Lao_dong_KT!N20</f>
        <v>520457</v>
      </c>
      <c r="D20" s="520">
        <f>'Dung cu (2.1.3)'!E37</f>
        <v>7233</v>
      </c>
      <c r="E20" s="520">
        <f>'Thiet bi (2.2.3)'!E33</f>
        <v>3311</v>
      </c>
      <c r="F20" s="520">
        <f>'Thiet bi (2.2.3)'!F33</f>
        <v>40496</v>
      </c>
      <c r="G20" s="520">
        <f>'Vat lieu (2.3.3)'!E40</f>
        <v>67218</v>
      </c>
      <c r="H20" s="520">
        <f t="shared" si="0"/>
        <v>635404</v>
      </c>
      <c r="I20" s="520">
        <f t="shared" si="1"/>
        <v>638715</v>
      </c>
      <c r="J20" s="506">
        <f t="shared" si="2"/>
        <v>127081</v>
      </c>
      <c r="K20" s="506">
        <f t="shared" si="3"/>
        <v>127743</v>
      </c>
      <c r="L20" s="506">
        <f t="shared" si="4"/>
        <v>762485</v>
      </c>
      <c r="M20" s="506">
        <f t="shared" si="5"/>
        <v>766458</v>
      </c>
    </row>
    <row r="21" spans="1:13" ht="15.75">
      <c r="A21" s="122" t="s">
        <v>301</v>
      </c>
      <c r="B21" s="518" t="s">
        <v>107</v>
      </c>
      <c r="C21" s="519">
        <f>Lao_dong_KT!N21</f>
        <v>520457</v>
      </c>
      <c r="D21" s="520">
        <f>'Dung cu (2.1.3)'!E38</f>
        <v>7233</v>
      </c>
      <c r="E21" s="520">
        <f>'Thiet bi (2.2.3)'!E34</f>
        <v>3311</v>
      </c>
      <c r="F21" s="520">
        <f>'Thiet bi (2.2.3)'!F34</f>
        <v>40496</v>
      </c>
      <c r="G21" s="520">
        <f>'Vat lieu (2.3.3)'!E41</f>
        <v>67218</v>
      </c>
      <c r="H21" s="520">
        <f t="shared" si="0"/>
        <v>635404</v>
      </c>
      <c r="I21" s="520">
        <f t="shared" si="1"/>
        <v>638715</v>
      </c>
      <c r="J21" s="506">
        <f t="shared" si="2"/>
        <v>127081</v>
      </c>
      <c r="K21" s="506">
        <f t="shared" si="3"/>
        <v>127743</v>
      </c>
      <c r="L21" s="506">
        <f t="shared" si="4"/>
        <v>762485</v>
      </c>
      <c r="M21" s="506">
        <f t="shared" si="5"/>
        <v>766458</v>
      </c>
    </row>
    <row r="22" spans="1:13" ht="15.75">
      <c r="A22" s="516" t="s">
        <v>162</v>
      </c>
      <c r="B22" s="517" t="s">
        <v>108</v>
      </c>
      <c r="C22" s="519">
        <f>Lao_dong_KT!N22</f>
        <v>9961371</v>
      </c>
      <c r="D22" s="520">
        <f>'Dung cu (2.1.3)'!E39</f>
        <v>141293</v>
      </c>
      <c r="E22" s="520">
        <f>'Thiet bi (2.2.3)'!E35</f>
        <v>234511</v>
      </c>
      <c r="F22" s="520">
        <f>'Thiet bi (2.2.3)'!F35</f>
        <v>786099</v>
      </c>
      <c r="G22" s="520">
        <f>'Vat lieu (2.3.3)'!E42</f>
        <v>1312989</v>
      </c>
      <c r="H22" s="520">
        <f t="shared" si="0"/>
        <v>12201752</v>
      </c>
      <c r="I22" s="520">
        <f t="shared" si="1"/>
        <v>12436263</v>
      </c>
      <c r="J22" s="506">
        <f t="shared" si="2"/>
        <v>2440350</v>
      </c>
      <c r="K22" s="506">
        <f t="shared" si="3"/>
        <v>2487253</v>
      </c>
      <c r="L22" s="506">
        <f t="shared" si="4"/>
        <v>14642102</v>
      </c>
      <c r="M22" s="506">
        <f t="shared" si="5"/>
        <v>14923516</v>
      </c>
    </row>
    <row r="23" spans="1:13" ht="14.25" customHeight="1">
      <c r="A23" s="122" t="s">
        <v>302</v>
      </c>
      <c r="B23" s="518" t="s">
        <v>103</v>
      </c>
      <c r="C23" s="519">
        <f>Lao_dong_KT!N23</f>
        <v>1352025</v>
      </c>
      <c r="D23" s="520">
        <f>'Dung cu (2.1.3)'!E40</f>
        <v>19289</v>
      </c>
      <c r="E23" s="520">
        <f>'Thiet bi (2.2.3)'!E36</f>
        <v>31979</v>
      </c>
      <c r="F23" s="520">
        <f>'Thiet bi (2.2.3)'!F36</f>
        <v>59238</v>
      </c>
      <c r="G23" s="520">
        <f>'Vat lieu (2.3.3)'!E43</f>
        <v>179248</v>
      </c>
      <c r="H23" s="520">
        <f t="shared" si="0"/>
        <v>1609800</v>
      </c>
      <c r="I23" s="520">
        <f t="shared" si="1"/>
        <v>1641779</v>
      </c>
      <c r="J23" s="506">
        <f t="shared" si="2"/>
        <v>321960</v>
      </c>
      <c r="K23" s="506">
        <f t="shared" si="3"/>
        <v>328356</v>
      </c>
      <c r="L23" s="506">
        <f t="shared" si="4"/>
        <v>1931760</v>
      </c>
      <c r="M23" s="506">
        <f t="shared" si="5"/>
        <v>1970135</v>
      </c>
    </row>
    <row r="24" spans="1:13" ht="15.75">
      <c r="A24" s="122" t="s">
        <v>303</v>
      </c>
      <c r="B24" s="518" t="s">
        <v>104</v>
      </c>
      <c r="C24" s="519">
        <f>Lao_dong_KT!N24</f>
        <v>3082035</v>
      </c>
      <c r="D24" s="520">
        <f>'Dung cu (2.1.3)'!E41</f>
        <v>43883</v>
      </c>
      <c r="E24" s="520">
        <f>'Thiet bi (2.2.3)'!E37</f>
        <v>72485</v>
      </c>
      <c r="F24" s="520">
        <f>'Thiet bi (2.2.3)'!F37</f>
        <v>242976</v>
      </c>
      <c r="G24" s="520">
        <f>'Vat lieu (2.3.3)'!E44</f>
        <v>407788</v>
      </c>
      <c r="H24" s="520">
        <f t="shared" si="0"/>
        <v>3776682</v>
      </c>
      <c r="I24" s="520">
        <f t="shared" si="1"/>
        <v>3849167</v>
      </c>
      <c r="J24" s="506">
        <f t="shared" si="2"/>
        <v>755336</v>
      </c>
      <c r="K24" s="506">
        <f t="shared" si="3"/>
        <v>769833</v>
      </c>
      <c r="L24" s="506">
        <f t="shared" si="4"/>
        <v>4532018</v>
      </c>
      <c r="M24" s="506">
        <f t="shared" si="5"/>
        <v>4619000</v>
      </c>
    </row>
    <row r="25" spans="1:13" ht="15.75">
      <c r="A25" s="122" t="s">
        <v>304</v>
      </c>
      <c r="B25" s="518" t="s">
        <v>105</v>
      </c>
      <c r="C25" s="519">
        <f>Lao_dong_KT!N25</f>
        <v>3794393</v>
      </c>
      <c r="D25" s="520">
        <f>'Dung cu (2.1.3)'!E42</f>
        <v>54010</v>
      </c>
      <c r="E25" s="520">
        <f>'Thiet bi (2.2.3)'!E38</f>
        <v>89540</v>
      </c>
      <c r="F25" s="520">
        <f>'Thiet bi (2.2.3)'!F38</f>
        <v>300147</v>
      </c>
      <c r="G25" s="520">
        <f>'Vat lieu (2.3.3)'!E45</f>
        <v>501893</v>
      </c>
      <c r="H25" s="520">
        <f t="shared" si="0"/>
        <v>4650443</v>
      </c>
      <c r="I25" s="520">
        <f t="shared" si="1"/>
        <v>4739983</v>
      </c>
      <c r="J25" s="506">
        <f t="shared" si="2"/>
        <v>930089</v>
      </c>
      <c r="K25" s="506">
        <f t="shared" si="3"/>
        <v>947997</v>
      </c>
      <c r="L25" s="506">
        <f t="shared" si="4"/>
        <v>5580532</v>
      </c>
      <c r="M25" s="506">
        <f t="shared" si="5"/>
        <v>5687980</v>
      </c>
    </row>
    <row r="26" spans="1:13" ht="15.75">
      <c r="A26" s="122" t="s">
        <v>304</v>
      </c>
      <c r="B26" s="518" t="s">
        <v>106</v>
      </c>
      <c r="C26" s="519">
        <f>Lao_dong_KT!N26</f>
        <v>866459</v>
      </c>
      <c r="D26" s="520">
        <f>'Dung cu (2.1.3)'!E43</f>
        <v>12056</v>
      </c>
      <c r="E26" s="520">
        <f>'Thiet bi (2.2.3)'!E39</f>
        <v>20609</v>
      </c>
      <c r="F26" s="520">
        <f>'Thiet bi (2.2.3)'!F39</f>
        <v>69082</v>
      </c>
      <c r="G26" s="520">
        <f>'Vat lieu (2.3.3)'!E46</f>
        <v>112030</v>
      </c>
      <c r="H26" s="520">
        <f t="shared" si="0"/>
        <v>1059627</v>
      </c>
      <c r="I26" s="520">
        <f t="shared" si="1"/>
        <v>1080236</v>
      </c>
      <c r="J26" s="506">
        <f t="shared" si="2"/>
        <v>211925</v>
      </c>
      <c r="K26" s="506">
        <f t="shared" si="3"/>
        <v>216047</v>
      </c>
      <c r="L26" s="506">
        <f t="shared" si="4"/>
        <v>1271552</v>
      </c>
      <c r="M26" s="506">
        <f t="shared" si="5"/>
        <v>1296283</v>
      </c>
    </row>
    <row r="27" spans="1:13" ht="15.75">
      <c r="A27" s="122" t="s">
        <v>305</v>
      </c>
      <c r="B27" s="518" t="s">
        <v>107</v>
      </c>
      <c r="C27" s="519">
        <f>Lao_dong_KT!N27</f>
        <v>866459</v>
      </c>
      <c r="D27" s="520">
        <f>'Dung cu (2.1.3)'!E44</f>
        <v>12056</v>
      </c>
      <c r="E27" s="520">
        <f>'Thiet bi (2.2.3)'!E40</f>
        <v>19898</v>
      </c>
      <c r="F27" s="520">
        <f>'Thiet bi (2.2.3)'!F40</f>
        <v>66699</v>
      </c>
      <c r="G27" s="520">
        <f>'Vat lieu (2.3.3)'!E47</f>
        <v>112030</v>
      </c>
      <c r="H27" s="520">
        <f t="shared" si="0"/>
        <v>1057244</v>
      </c>
      <c r="I27" s="520">
        <f t="shared" si="1"/>
        <v>1077142</v>
      </c>
      <c r="J27" s="506">
        <f t="shared" si="2"/>
        <v>211449</v>
      </c>
      <c r="K27" s="506">
        <f t="shared" si="3"/>
        <v>215428</v>
      </c>
      <c r="L27" s="506">
        <f t="shared" si="4"/>
        <v>1268693</v>
      </c>
      <c r="M27" s="506">
        <f t="shared" si="5"/>
        <v>1292570</v>
      </c>
    </row>
    <row r="28" spans="1:13" ht="15.75">
      <c r="A28" s="264">
        <v>4</v>
      </c>
      <c r="B28" s="515" t="s">
        <v>109</v>
      </c>
      <c r="C28" s="513">
        <f>Lao_dong_KT!N28</f>
        <v>128307733</v>
      </c>
      <c r="D28" s="514">
        <f>'Dung cu (2.1.4)'!E29</f>
        <v>1785962</v>
      </c>
      <c r="E28" s="514">
        <f>'Thiet bi (2.2.4)'!E21</f>
        <v>1828833</v>
      </c>
      <c r="F28" s="514">
        <f>'Thiet bi (2.2.4)'!F21</f>
        <v>8081372</v>
      </c>
      <c r="G28" s="514">
        <f>'Vat lieu (2.3.4)'!E26</f>
        <v>5787214</v>
      </c>
      <c r="H28" s="514">
        <f t="shared" si="0"/>
        <v>143962281</v>
      </c>
      <c r="I28" s="514">
        <f t="shared" si="1"/>
        <v>145791114</v>
      </c>
      <c r="J28" s="526">
        <f t="shared" si="2"/>
        <v>28792456</v>
      </c>
      <c r="K28" s="526">
        <f t="shared" si="3"/>
        <v>29158223</v>
      </c>
      <c r="L28" s="526">
        <f t="shared" si="4"/>
        <v>172754737</v>
      </c>
      <c r="M28" s="526">
        <f t="shared" si="5"/>
        <v>174949337</v>
      </c>
    </row>
    <row r="29" spans="1:13" ht="15.75">
      <c r="A29" s="516" t="s">
        <v>42</v>
      </c>
      <c r="B29" s="517" t="s">
        <v>110</v>
      </c>
      <c r="C29" s="519">
        <f>Lao_dong_KT!N29</f>
        <v>115728543</v>
      </c>
      <c r="D29" s="520">
        <f>'Dung cu (2.1.4)'!E30</f>
        <v>1610868</v>
      </c>
      <c r="E29" s="520">
        <f>'Thiet bi (2.2.4)'!E22</f>
        <v>1649535</v>
      </c>
      <c r="F29" s="520">
        <f>'Thiet bi (2.2.4)'!F22</f>
        <v>7289080</v>
      </c>
      <c r="G29" s="520">
        <f>'Vat lieu (2.3.4)'!E27</f>
        <v>5219840</v>
      </c>
      <c r="H29" s="520">
        <f t="shared" si="0"/>
        <v>129848331</v>
      </c>
      <c r="I29" s="520">
        <f t="shared" si="1"/>
        <v>131497866</v>
      </c>
      <c r="J29" s="506">
        <f t="shared" si="2"/>
        <v>25969666</v>
      </c>
      <c r="K29" s="506">
        <f t="shared" si="3"/>
        <v>26299573</v>
      </c>
      <c r="L29" s="506">
        <f t="shared" si="4"/>
        <v>155817997</v>
      </c>
      <c r="M29" s="506">
        <f t="shared" si="5"/>
        <v>157797439</v>
      </c>
    </row>
    <row r="30" spans="1:13" ht="34.5" customHeight="1">
      <c r="A30" s="122" t="s">
        <v>306</v>
      </c>
      <c r="B30" s="518" t="s">
        <v>307</v>
      </c>
      <c r="C30" s="519">
        <f>Lao_dong_KT!N30</f>
        <v>12659696</v>
      </c>
      <c r="D30" s="521">
        <f>'Dung cu (2.1.4)'!E31</f>
        <v>175094</v>
      </c>
      <c r="E30" s="521">
        <f>'Thiet bi (2.2.4)'!E23</f>
        <v>179297</v>
      </c>
      <c r="F30" s="521">
        <f>'Thiet bi (2.2.4)'!F23</f>
        <v>792291</v>
      </c>
      <c r="G30" s="521">
        <f>'Vat lieu (2.3.4)'!E28</f>
        <v>567374</v>
      </c>
      <c r="H30" s="520">
        <f t="shared" si="0"/>
        <v>14194455</v>
      </c>
      <c r="I30" s="520">
        <f t="shared" si="1"/>
        <v>14373752</v>
      </c>
      <c r="J30" s="506">
        <f t="shared" si="2"/>
        <v>2838891</v>
      </c>
      <c r="K30" s="506">
        <f t="shared" si="3"/>
        <v>2874750</v>
      </c>
      <c r="L30" s="506">
        <f t="shared" si="4"/>
        <v>17033346</v>
      </c>
      <c r="M30" s="506">
        <f t="shared" si="5"/>
        <v>17248502</v>
      </c>
    </row>
    <row r="31" spans="1:13" ht="15.75">
      <c r="A31" s="122" t="s">
        <v>129</v>
      </c>
      <c r="B31" s="518" t="s">
        <v>308</v>
      </c>
      <c r="C31" s="519">
        <f>Lao_dong_KT!N31</f>
        <v>870480</v>
      </c>
      <c r="D31" s="521">
        <f>'Dung cu (2.1.4)'!E32</f>
        <v>12734</v>
      </c>
      <c r="E31" s="521">
        <f>'Thiet bi (2.2.4)'!E24</f>
        <v>13040</v>
      </c>
      <c r="F31" s="521">
        <f>'Thiet bi (2.2.4)'!F24</f>
        <v>57621</v>
      </c>
      <c r="G31" s="521">
        <f>'Vat lieu (2.3.4)'!E29</f>
        <v>41264</v>
      </c>
      <c r="H31" s="520">
        <f t="shared" si="0"/>
        <v>982099</v>
      </c>
      <c r="I31" s="520">
        <f t="shared" si="1"/>
        <v>995139</v>
      </c>
      <c r="J31" s="506">
        <f t="shared" si="2"/>
        <v>196420</v>
      </c>
      <c r="K31" s="506">
        <f t="shared" si="3"/>
        <v>199028</v>
      </c>
      <c r="L31" s="506">
        <f t="shared" si="4"/>
        <v>1178519</v>
      </c>
      <c r="M31" s="506">
        <f t="shared" si="5"/>
        <v>1194167</v>
      </c>
    </row>
    <row r="32" spans="1:13" ht="15.75">
      <c r="A32" s="122" t="s">
        <v>130</v>
      </c>
      <c r="B32" s="518" t="s">
        <v>309</v>
      </c>
      <c r="C32" s="519">
        <f>Lao_dong_KT!N32</f>
        <v>11789216</v>
      </c>
      <c r="D32" s="521">
        <f>'Dung cu (2.1.4)'!E33</f>
        <v>162360</v>
      </c>
      <c r="E32" s="521">
        <f>'Thiet bi (2.2.4)'!E25</f>
        <v>166258</v>
      </c>
      <c r="F32" s="521">
        <f>'Thiet bi (2.2.4)'!F25</f>
        <v>734670</v>
      </c>
      <c r="G32" s="521">
        <f>'Vat lieu (2.3.4)'!E30</f>
        <v>526110</v>
      </c>
      <c r="H32" s="520">
        <f t="shared" si="0"/>
        <v>13212356</v>
      </c>
      <c r="I32" s="520">
        <f t="shared" si="1"/>
        <v>13378614</v>
      </c>
      <c r="J32" s="506">
        <f t="shared" si="2"/>
        <v>2642471</v>
      </c>
      <c r="K32" s="506">
        <f t="shared" si="3"/>
        <v>2675723</v>
      </c>
      <c r="L32" s="506">
        <f t="shared" si="4"/>
        <v>15854827</v>
      </c>
      <c r="M32" s="506">
        <f t="shared" si="5"/>
        <v>16054337</v>
      </c>
    </row>
    <row r="33" spans="1:13" ht="15.75">
      <c r="A33" s="122" t="s">
        <v>310</v>
      </c>
      <c r="B33" s="518" t="s">
        <v>311</v>
      </c>
      <c r="C33" s="519">
        <f>Lao_dong_KT!N33</f>
        <v>26230126</v>
      </c>
      <c r="D33" s="521">
        <f>'Dung cu (2.1.4)'!E34</f>
        <v>369290</v>
      </c>
      <c r="E33" s="521">
        <f>'Thiet bi (2.2.4)'!E26</f>
        <v>378154</v>
      </c>
      <c r="F33" s="521">
        <f>'Thiet bi (2.2.4)'!F26</f>
        <v>1671014</v>
      </c>
      <c r="G33" s="521">
        <f>'Vat lieu (2.3.4)'!E31</f>
        <v>1196643</v>
      </c>
      <c r="H33" s="520">
        <f t="shared" si="0"/>
        <v>29467073</v>
      </c>
      <c r="I33" s="520">
        <f t="shared" si="1"/>
        <v>29845227</v>
      </c>
      <c r="J33" s="506">
        <f t="shared" si="2"/>
        <v>5893415</v>
      </c>
      <c r="K33" s="506">
        <f t="shared" si="3"/>
        <v>5969045</v>
      </c>
      <c r="L33" s="506">
        <f t="shared" si="4"/>
        <v>35360488</v>
      </c>
      <c r="M33" s="506">
        <f t="shared" si="5"/>
        <v>35814272</v>
      </c>
    </row>
    <row r="34" spans="1:13" ht="15.75">
      <c r="A34" s="122" t="s">
        <v>129</v>
      </c>
      <c r="B34" s="518" t="s">
        <v>312</v>
      </c>
      <c r="C34" s="519">
        <f>Lao_dong_KT!N34</f>
        <v>3663060</v>
      </c>
      <c r="D34" s="521">
        <f>'Dung cu (2.1.4)'!E35</f>
        <v>50937</v>
      </c>
      <c r="E34" s="521">
        <f>'Thiet bi (2.2.4)'!E27</f>
        <v>52159</v>
      </c>
      <c r="F34" s="521">
        <f>'Thiet bi (2.2.4)'!F27</f>
        <v>230485</v>
      </c>
      <c r="G34" s="521">
        <f>'Vat lieu (2.3.4)'!E32</f>
        <v>165054</v>
      </c>
      <c r="H34" s="520">
        <f t="shared" si="0"/>
        <v>4109536</v>
      </c>
      <c r="I34" s="520">
        <f t="shared" si="1"/>
        <v>4161695</v>
      </c>
      <c r="J34" s="506">
        <f t="shared" si="2"/>
        <v>821907</v>
      </c>
      <c r="K34" s="506">
        <f t="shared" si="3"/>
        <v>832339</v>
      </c>
      <c r="L34" s="506">
        <f t="shared" si="4"/>
        <v>4931443</v>
      </c>
      <c r="M34" s="506">
        <f t="shared" si="5"/>
        <v>4994034</v>
      </c>
    </row>
    <row r="35" spans="1:13" ht="31.5">
      <c r="A35" s="122" t="s">
        <v>130</v>
      </c>
      <c r="B35" s="518" t="s">
        <v>313</v>
      </c>
      <c r="C35" s="519">
        <f>Lao_dong_KT!N35</f>
        <v>3964961</v>
      </c>
      <c r="D35" s="521">
        <f>'Dung cu (2.1.4)'!E36</f>
        <v>54120</v>
      </c>
      <c r="E35" s="521">
        <f>'Thiet bi (2.2.4)'!E28</f>
        <v>55419</v>
      </c>
      <c r="F35" s="521">
        <f>'Thiet bi (2.2.4)'!F28</f>
        <v>244890</v>
      </c>
      <c r="G35" s="521">
        <f>'Vat lieu (2.3.4)'!E33</f>
        <v>175370</v>
      </c>
      <c r="H35" s="520">
        <f t="shared" si="0"/>
        <v>4439341</v>
      </c>
      <c r="I35" s="520">
        <f t="shared" si="1"/>
        <v>4494760</v>
      </c>
      <c r="J35" s="506">
        <f t="shared" si="2"/>
        <v>887868</v>
      </c>
      <c r="K35" s="506">
        <f t="shared" si="3"/>
        <v>898952</v>
      </c>
      <c r="L35" s="506">
        <f t="shared" si="4"/>
        <v>5327209</v>
      </c>
      <c r="M35" s="506">
        <f t="shared" si="5"/>
        <v>5393712</v>
      </c>
    </row>
    <row r="36" spans="1:13" ht="15.75">
      <c r="A36" s="122" t="s">
        <v>131</v>
      </c>
      <c r="B36" s="518" t="s">
        <v>314</v>
      </c>
      <c r="C36" s="519">
        <f>Lao_dong_KT!N36</f>
        <v>9696039</v>
      </c>
      <c r="D36" s="521">
        <f>'Dung cu (2.1.4)'!E37</f>
        <v>133708</v>
      </c>
      <c r="E36" s="521">
        <f>'Thiet bi (2.2.4)'!E29</f>
        <v>136918</v>
      </c>
      <c r="F36" s="521">
        <f>'Thiet bi (2.2.4)'!F29</f>
        <v>605022</v>
      </c>
      <c r="G36" s="521">
        <f>'Vat lieu (2.3.4)'!E34</f>
        <v>433267</v>
      </c>
      <c r="H36" s="520">
        <f t="shared" si="0"/>
        <v>10868036</v>
      </c>
      <c r="I36" s="520">
        <f t="shared" si="1"/>
        <v>11004954</v>
      </c>
      <c r="J36" s="506">
        <f t="shared" si="2"/>
        <v>2173607</v>
      </c>
      <c r="K36" s="506">
        <f t="shared" si="3"/>
        <v>2200991</v>
      </c>
      <c r="L36" s="506">
        <f t="shared" si="4"/>
        <v>13041643</v>
      </c>
      <c r="M36" s="506">
        <f t="shared" si="5"/>
        <v>13205945</v>
      </c>
    </row>
    <row r="37" spans="1:13" ht="15.75">
      <c r="A37" s="122" t="s">
        <v>132</v>
      </c>
      <c r="B37" s="518" t="s">
        <v>315</v>
      </c>
      <c r="C37" s="519">
        <f>Lao_dong_KT!N37</f>
        <v>8906066</v>
      </c>
      <c r="D37" s="521">
        <f>'Dung cu (2.1.4)'!E38</f>
        <v>124158</v>
      </c>
      <c r="E37" s="521">
        <f>'Thiet bi (2.2.4)'!E30</f>
        <v>127138</v>
      </c>
      <c r="F37" s="521">
        <f>'Thiet bi (2.2.4)'!F30</f>
        <v>561807</v>
      </c>
      <c r="G37" s="521">
        <f>'Vat lieu (2.3.4)'!E35</f>
        <v>402320</v>
      </c>
      <c r="H37" s="520">
        <f t="shared" si="0"/>
        <v>9994351</v>
      </c>
      <c r="I37" s="520">
        <f t="shared" si="1"/>
        <v>10121489</v>
      </c>
      <c r="J37" s="506">
        <f t="shared" si="2"/>
        <v>1998870</v>
      </c>
      <c r="K37" s="506">
        <f t="shared" si="3"/>
        <v>2024298</v>
      </c>
      <c r="L37" s="506">
        <f t="shared" si="4"/>
        <v>11993221</v>
      </c>
      <c r="M37" s="506">
        <f t="shared" si="5"/>
        <v>12145787</v>
      </c>
    </row>
    <row r="38" spans="1:13" ht="31.5">
      <c r="A38" s="122" t="s">
        <v>320</v>
      </c>
      <c r="B38" s="518" t="s">
        <v>321</v>
      </c>
      <c r="C38" s="519">
        <f>Lao_dong_KT!N38</f>
        <v>54342099</v>
      </c>
      <c r="D38" s="521">
        <f>'Dung cu (2.1.4)'!E39</f>
        <v>754497</v>
      </c>
      <c r="E38" s="521">
        <f>'Thiet bi (2.2.4)'!E31</f>
        <v>772608</v>
      </c>
      <c r="F38" s="521">
        <f>'Thiet bi (2.2.4)'!F31</f>
        <v>3414055</v>
      </c>
      <c r="G38" s="521">
        <f>'Vat lieu (2.3.4)'!E36</f>
        <v>2444866</v>
      </c>
      <c r="H38" s="520">
        <f t="shared" si="0"/>
        <v>60955517</v>
      </c>
      <c r="I38" s="520">
        <f t="shared" si="1"/>
        <v>61728125</v>
      </c>
      <c r="J38" s="506">
        <f t="shared" si="2"/>
        <v>12191103</v>
      </c>
      <c r="K38" s="506">
        <f t="shared" si="3"/>
        <v>12345625</v>
      </c>
      <c r="L38" s="506">
        <f t="shared" si="4"/>
        <v>73146620</v>
      </c>
      <c r="M38" s="506">
        <f t="shared" si="5"/>
        <v>74073750</v>
      </c>
    </row>
    <row r="39" spans="1:13" ht="15.75">
      <c r="A39" s="122" t="s">
        <v>129</v>
      </c>
      <c r="B39" s="518" t="s">
        <v>322</v>
      </c>
      <c r="C39" s="519">
        <f>Lao_dong_KT!N39</f>
        <v>19673852</v>
      </c>
      <c r="D39" s="521">
        <f>'Dung cu (2.1.4)'!E40</f>
        <v>273784</v>
      </c>
      <c r="E39" s="521">
        <f>'Thiet bi (2.2.4)'!E32</f>
        <v>280356</v>
      </c>
      <c r="F39" s="521">
        <f>'Thiet bi (2.2.4)'!F32</f>
        <v>1238856</v>
      </c>
      <c r="G39" s="521">
        <f>'Vat lieu (2.3.4)'!E37</f>
        <v>887167</v>
      </c>
      <c r="H39" s="520">
        <f t="shared" si="0"/>
        <v>22073659</v>
      </c>
      <c r="I39" s="520">
        <f t="shared" si="1"/>
        <v>22354015</v>
      </c>
      <c r="J39" s="506">
        <f t="shared" si="2"/>
        <v>4414732</v>
      </c>
      <c r="K39" s="506">
        <f t="shared" si="3"/>
        <v>4470803</v>
      </c>
      <c r="L39" s="506">
        <f t="shared" si="4"/>
        <v>26488391</v>
      </c>
      <c r="M39" s="506">
        <f t="shared" si="5"/>
        <v>26824818</v>
      </c>
    </row>
    <row r="40" spans="1:13" ht="31.5">
      <c r="A40" s="122" t="s">
        <v>130</v>
      </c>
      <c r="B40" s="518" t="s">
        <v>323</v>
      </c>
      <c r="C40" s="519">
        <f>Lao_dong_KT!N40</f>
        <v>15195661</v>
      </c>
      <c r="D40" s="521">
        <f>'Dung cu (2.1.4)'!E41</f>
        <v>210113</v>
      </c>
      <c r="E40" s="521">
        <f>'Thiet bi (2.2.4)'!E33</f>
        <v>215157</v>
      </c>
      <c r="F40" s="521">
        <f>'Thiet bi (2.2.4)'!F33</f>
        <v>950750</v>
      </c>
      <c r="G40" s="521">
        <f>'Vat lieu (2.3.4)'!E38</f>
        <v>680849</v>
      </c>
      <c r="H40" s="520">
        <f t="shared" si="0"/>
        <v>17037373</v>
      </c>
      <c r="I40" s="520">
        <f t="shared" si="1"/>
        <v>17252530</v>
      </c>
      <c r="J40" s="506">
        <f t="shared" si="2"/>
        <v>3407475</v>
      </c>
      <c r="K40" s="506">
        <f t="shared" si="3"/>
        <v>3450506</v>
      </c>
      <c r="L40" s="506">
        <f t="shared" si="4"/>
        <v>20444848</v>
      </c>
      <c r="M40" s="506">
        <f t="shared" si="5"/>
        <v>20703036</v>
      </c>
    </row>
    <row r="41" spans="1:13" ht="31.5">
      <c r="A41" s="122" t="s">
        <v>131</v>
      </c>
      <c r="B41" s="518" t="s">
        <v>324</v>
      </c>
      <c r="C41" s="519">
        <f>Lao_dong_KT!N41</f>
        <v>19472585</v>
      </c>
      <c r="D41" s="521">
        <f>'Dung cu (2.1.4)'!E42</f>
        <v>270600</v>
      </c>
      <c r="E41" s="521">
        <f>'Thiet bi (2.2.4)'!E34</f>
        <v>277096</v>
      </c>
      <c r="F41" s="521">
        <f>'Thiet bi (2.2.4)'!F34</f>
        <v>1224450</v>
      </c>
      <c r="G41" s="521">
        <f>'Vat lieu (2.3.4)'!E39</f>
        <v>876851</v>
      </c>
      <c r="H41" s="520">
        <f t="shared" si="0"/>
        <v>21844486</v>
      </c>
      <c r="I41" s="520">
        <f t="shared" si="1"/>
        <v>22121582</v>
      </c>
      <c r="J41" s="506">
        <f t="shared" si="2"/>
        <v>4368897</v>
      </c>
      <c r="K41" s="506">
        <f t="shared" si="3"/>
        <v>4424316</v>
      </c>
      <c r="L41" s="506">
        <f t="shared" si="4"/>
        <v>26213383</v>
      </c>
      <c r="M41" s="506">
        <f t="shared" si="5"/>
        <v>26545898</v>
      </c>
    </row>
    <row r="42" spans="1:13" ht="15.75">
      <c r="A42" s="122" t="s">
        <v>316</v>
      </c>
      <c r="B42" s="518" t="s">
        <v>317</v>
      </c>
      <c r="C42" s="519">
        <f>Lao_dong_KT!N42</f>
        <v>5887061</v>
      </c>
      <c r="D42" s="521">
        <f>'Dung cu (2.1.4)'!E43</f>
        <v>82772</v>
      </c>
      <c r="E42" s="521">
        <f>'Thiet bi (2.2.4)'!E35</f>
        <v>84759</v>
      </c>
      <c r="F42" s="521">
        <f>'Thiet bi (2.2.4)'!F35</f>
        <v>374538</v>
      </c>
      <c r="G42" s="521">
        <f>'Vat lieu (2.3.4)'!E40</f>
        <v>268213</v>
      </c>
      <c r="H42" s="520">
        <f t="shared" si="0"/>
        <v>6612584</v>
      </c>
      <c r="I42" s="520">
        <f t="shared" si="1"/>
        <v>6697343</v>
      </c>
      <c r="J42" s="506">
        <f t="shared" si="2"/>
        <v>1322517</v>
      </c>
      <c r="K42" s="506">
        <f t="shared" si="3"/>
        <v>1339469</v>
      </c>
      <c r="L42" s="506">
        <f t="shared" si="4"/>
        <v>7935101</v>
      </c>
      <c r="M42" s="506">
        <f t="shared" si="5"/>
        <v>8036812</v>
      </c>
    </row>
    <row r="43" spans="1:13" ht="31.5">
      <c r="A43" s="122" t="s">
        <v>129</v>
      </c>
      <c r="B43" s="518" t="s">
        <v>318</v>
      </c>
      <c r="C43" s="519">
        <f>Lao_dong_KT!N43</f>
        <v>3803947</v>
      </c>
      <c r="D43" s="521">
        <f>'Dung cu (2.1.4)'!E44</f>
        <v>50937</v>
      </c>
      <c r="E43" s="521">
        <f>'Thiet bi (2.2.4)'!E36</f>
        <v>52159</v>
      </c>
      <c r="F43" s="521">
        <f>'Thiet bi (2.2.4)'!F36</f>
        <v>230485</v>
      </c>
      <c r="G43" s="521">
        <f>'Vat lieu (2.3.4)'!E41</f>
        <v>165054</v>
      </c>
      <c r="H43" s="520">
        <f t="shared" si="0"/>
        <v>4250423</v>
      </c>
      <c r="I43" s="520">
        <f t="shared" si="1"/>
        <v>4302582</v>
      </c>
      <c r="J43" s="506">
        <f t="shared" si="2"/>
        <v>850085</v>
      </c>
      <c r="K43" s="506">
        <f t="shared" si="3"/>
        <v>860516</v>
      </c>
      <c r="L43" s="506">
        <f t="shared" si="4"/>
        <v>5100508</v>
      </c>
      <c r="M43" s="506">
        <f t="shared" si="5"/>
        <v>5163098</v>
      </c>
    </row>
    <row r="44" spans="1:13" ht="15.75">
      <c r="A44" s="122" t="s">
        <v>130</v>
      </c>
      <c r="B44" s="518" t="s">
        <v>309</v>
      </c>
      <c r="C44" s="519">
        <f>Lao_dong_KT!N44</f>
        <v>1091874</v>
      </c>
      <c r="D44" s="521">
        <f>'Dung cu (2.1.4)'!E45</f>
        <v>15918</v>
      </c>
      <c r="E44" s="521">
        <f>'Thiet bi (2.2.4)'!E37</f>
        <v>16300</v>
      </c>
      <c r="F44" s="521">
        <f>'Thiet bi (2.2.4)'!F37</f>
        <v>72026</v>
      </c>
      <c r="G44" s="521">
        <f>'Vat lieu (2.3.4)'!E42</f>
        <v>51579</v>
      </c>
      <c r="H44" s="520">
        <f t="shared" si="0"/>
        <v>1231397</v>
      </c>
      <c r="I44" s="520">
        <f t="shared" si="1"/>
        <v>1247697</v>
      </c>
      <c r="J44" s="506">
        <f t="shared" si="2"/>
        <v>246279</v>
      </c>
      <c r="K44" s="506">
        <f t="shared" si="3"/>
        <v>249539</v>
      </c>
      <c r="L44" s="506">
        <f t="shared" si="4"/>
        <v>1477676</v>
      </c>
      <c r="M44" s="506">
        <f t="shared" si="5"/>
        <v>1497236</v>
      </c>
    </row>
    <row r="45" spans="1:13" ht="15.75">
      <c r="A45" s="122" t="s">
        <v>131</v>
      </c>
      <c r="B45" s="518" t="s">
        <v>319</v>
      </c>
      <c r="C45" s="519">
        <f>Lao_dong_KT!N45</f>
        <v>1091874</v>
      </c>
      <c r="D45" s="521">
        <f>'Dung cu (2.1.4)'!E46</f>
        <v>15918</v>
      </c>
      <c r="E45" s="521">
        <f>'Thiet bi (2.2.4)'!E38</f>
        <v>16300</v>
      </c>
      <c r="F45" s="521">
        <f>'Thiet bi (2.2.4)'!F38</f>
        <v>72026</v>
      </c>
      <c r="G45" s="521">
        <f>'Vat lieu (2.3.4)'!E43</f>
        <v>51579</v>
      </c>
      <c r="H45" s="520">
        <f t="shared" si="0"/>
        <v>1231397</v>
      </c>
      <c r="I45" s="520">
        <f t="shared" si="1"/>
        <v>1247697</v>
      </c>
      <c r="J45" s="506">
        <f t="shared" si="2"/>
        <v>246279</v>
      </c>
      <c r="K45" s="506">
        <f t="shared" si="3"/>
        <v>249539</v>
      </c>
      <c r="L45" s="506">
        <f t="shared" si="4"/>
        <v>1477676</v>
      </c>
      <c r="M45" s="506">
        <f t="shared" si="5"/>
        <v>1497236</v>
      </c>
    </row>
    <row r="46" spans="1:13" ht="15.75">
      <c r="A46" s="122" t="s">
        <v>325</v>
      </c>
      <c r="B46" s="432" t="s">
        <v>326</v>
      </c>
      <c r="C46" s="519">
        <f>Lao_dong_KT!N46</f>
        <v>11864692</v>
      </c>
      <c r="D46" s="521">
        <f>'Dung cu (2.1.4)'!E47</f>
        <v>165544</v>
      </c>
      <c r="E46" s="521">
        <f>'Thiet bi (2.2.4)'!E39</f>
        <v>169517</v>
      </c>
      <c r="F46" s="521">
        <f>'Thiet bi (2.2.4)'!F39</f>
        <v>749075</v>
      </c>
      <c r="G46" s="521">
        <f>'Vat lieu (2.3.4)'!E44</f>
        <v>536426</v>
      </c>
      <c r="H46" s="520">
        <f t="shared" si="0"/>
        <v>13315737</v>
      </c>
      <c r="I46" s="520">
        <f t="shared" si="1"/>
        <v>13485254</v>
      </c>
      <c r="J46" s="506">
        <f t="shared" si="2"/>
        <v>2663147</v>
      </c>
      <c r="K46" s="506">
        <f t="shared" si="3"/>
        <v>2697051</v>
      </c>
      <c r="L46" s="506">
        <f t="shared" si="4"/>
        <v>15978884</v>
      </c>
      <c r="M46" s="506">
        <f t="shared" si="5"/>
        <v>16182305</v>
      </c>
    </row>
    <row r="47" spans="1:13" ht="15.75">
      <c r="A47" s="122" t="s">
        <v>129</v>
      </c>
      <c r="B47" s="432" t="s">
        <v>327</v>
      </c>
      <c r="C47" s="519">
        <f>Lao_dong_KT!N47</f>
        <v>9077143</v>
      </c>
      <c r="D47" s="521">
        <f>'Dung cu (2.1.4)'!E48</f>
        <v>127341</v>
      </c>
      <c r="E47" s="521">
        <f>'Thiet bi (2.2.4)'!E40</f>
        <v>130398</v>
      </c>
      <c r="F47" s="521">
        <f>'Thiet bi (2.2.4)'!F40</f>
        <v>576212</v>
      </c>
      <c r="G47" s="521">
        <f>'Vat lieu (2.3.4)'!E45</f>
        <v>412636</v>
      </c>
      <c r="H47" s="520">
        <f t="shared" si="0"/>
        <v>10193332</v>
      </c>
      <c r="I47" s="520">
        <f t="shared" si="1"/>
        <v>10323730</v>
      </c>
      <c r="J47" s="506">
        <f t="shared" si="2"/>
        <v>2038666</v>
      </c>
      <c r="K47" s="506">
        <f t="shared" si="3"/>
        <v>2064746</v>
      </c>
      <c r="L47" s="506">
        <f t="shared" si="4"/>
        <v>12231998</v>
      </c>
      <c r="M47" s="506">
        <f t="shared" si="5"/>
        <v>12388476</v>
      </c>
    </row>
    <row r="48" spans="1:13" ht="15.75">
      <c r="A48" s="122" t="s">
        <v>130</v>
      </c>
      <c r="B48" s="432" t="s">
        <v>328</v>
      </c>
      <c r="C48" s="519">
        <f>Lao_dong_KT!N48</f>
        <v>2787548</v>
      </c>
      <c r="D48" s="521">
        <f>'Dung cu (2.1.4)'!E49</f>
        <v>38202</v>
      </c>
      <c r="E48" s="521">
        <f>'Thiet bi (2.2.4)'!E41</f>
        <v>39119</v>
      </c>
      <c r="F48" s="521">
        <f>'Thiet bi (2.2.4)'!F41</f>
        <v>172864</v>
      </c>
      <c r="G48" s="521">
        <f>'Vat lieu (2.3.4)'!E46</f>
        <v>123791</v>
      </c>
      <c r="H48" s="520">
        <f t="shared" si="0"/>
        <v>3122405</v>
      </c>
      <c r="I48" s="520">
        <f t="shared" si="1"/>
        <v>3161524</v>
      </c>
      <c r="J48" s="506">
        <f t="shared" si="2"/>
        <v>624481</v>
      </c>
      <c r="K48" s="506">
        <f t="shared" si="3"/>
        <v>632305</v>
      </c>
      <c r="L48" s="506">
        <f t="shared" si="4"/>
        <v>3746886</v>
      </c>
      <c r="M48" s="506">
        <f t="shared" si="5"/>
        <v>3793829</v>
      </c>
    </row>
    <row r="49" spans="1:13" ht="31.5">
      <c r="A49" s="122" t="s">
        <v>329</v>
      </c>
      <c r="B49" s="432" t="s">
        <v>330</v>
      </c>
      <c r="C49" s="519">
        <f>Lao_dong_KT!N49</f>
        <v>4744870</v>
      </c>
      <c r="D49" s="521">
        <f>'Dung cu (2.1.4)'!E50</f>
        <v>66854</v>
      </c>
      <c r="E49" s="521">
        <f>'Thiet bi (2.2.4)'!E42</f>
        <v>68459</v>
      </c>
      <c r="F49" s="521">
        <f>'Thiet bi (2.2.4)'!F42</f>
        <v>302511</v>
      </c>
      <c r="G49" s="521">
        <f>'Vat lieu (2.3.4)'!E47</f>
        <v>216634</v>
      </c>
      <c r="H49" s="520">
        <f t="shared" si="0"/>
        <v>5330869</v>
      </c>
      <c r="I49" s="520">
        <f t="shared" si="1"/>
        <v>5399328</v>
      </c>
      <c r="J49" s="506">
        <f t="shared" si="2"/>
        <v>1066174</v>
      </c>
      <c r="K49" s="506">
        <f t="shared" si="3"/>
        <v>1079866</v>
      </c>
      <c r="L49" s="506">
        <f t="shared" si="4"/>
        <v>6397043</v>
      </c>
      <c r="M49" s="506">
        <f t="shared" si="5"/>
        <v>6479194</v>
      </c>
    </row>
    <row r="50" spans="1:13" ht="15.75">
      <c r="A50" s="122" t="s">
        <v>129</v>
      </c>
      <c r="B50" s="432" t="s">
        <v>111</v>
      </c>
      <c r="C50" s="519">
        <f>Lao_dong_KT!N50</f>
        <v>2113304</v>
      </c>
      <c r="D50" s="521">
        <f>'Dung cu (2.1.4)'!E51</f>
        <v>28652</v>
      </c>
      <c r="E50" s="521">
        <f>'Thiet bi (2.2.4)'!E43</f>
        <v>29340</v>
      </c>
      <c r="F50" s="521">
        <f>'Thiet bi (2.2.4)'!F43</f>
        <v>129648</v>
      </c>
      <c r="G50" s="521">
        <f>'Vat lieu (2.3.4)'!E48</f>
        <v>92843</v>
      </c>
      <c r="H50" s="520">
        <f t="shared" si="0"/>
        <v>2364447</v>
      </c>
      <c r="I50" s="520">
        <f t="shared" si="1"/>
        <v>2393787</v>
      </c>
      <c r="J50" s="506">
        <f t="shared" si="2"/>
        <v>472889</v>
      </c>
      <c r="K50" s="506">
        <f t="shared" si="3"/>
        <v>478757</v>
      </c>
      <c r="L50" s="506">
        <f t="shared" si="4"/>
        <v>2837336</v>
      </c>
      <c r="M50" s="506">
        <f t="shared" si="5"/>
        <v>2872544</v>
      </c>
    </row>
    <row r="51" spans="1:13" ht="15.75">
      <c r="A51" s="122" t="s">
        <v>130</v>
      </c>
      <c r="B51" s="432" t="s">
        <v>331</v>
      </c>
      <c r="C51" s="519">
        <f>Lao_dong_KT!N51</f>
        <v>2631566</v>
      </c>
      <c r="D51" s="521">
        <f>'Dung cu (2.1.4)'!E52</f>
        <v>38202</v>
      </c>
      <c r="E51" s="521">
        <f>'Thiet bi (2.2.4)'!E44</f>
        <v>39119</v>
      </c>
      <c r="F51" s="521">
        <f>'Thiet bi (2.2.4)'!F44</f>
        <v>172864</v>
      </c>
      <c r="G51" s="521">
        <f>'Vat lieu (2.3.4)'!E49</f>
        <v>123791</v>
      </c>
      <c r="H51" s="520">
        <f t="shared" si="0"/>
        <v>2966423</v>
      </c>
      <c r="I51" s="520">
        <f t="shared" si="1"/>
        <v>3005542</v>
      </c>
      <c r="J51" s="506">
        <f t="shared" si="2"/>
        <v>593285</v>
      </c>
      <c r="K51" s="506">
        <f t="shared" si="3"/>
        <v>601108</v>
      </c>
      <c r="L51" s="506">
        <f t="shared" si="4"/>
        <v>3559708</v>
      </c>
      <c r="M51" s="506">
        <f t="shared" si="5"/>
        <v>3606650</v>
      </c>
    </row>
    <row r="52" spans="1:13" ht="23.25" customHeight="1">
      <c r="A52" s="516" t="s">
        <v>43</v>
      </c>
      <c r="B52" s="523" t="s">
        <v>112</v>
      </c>
      <c r="C52" s="519">
        <f>Lao_dong_KT!N52</f>
        <v>12579190</v>
      </c>
      <c r="D52" s="520">
        <f>'Dung cu (2.1.4)'!E53</f>
        <v>175094</v>
      </c>
      <c r="E52" s="520">
        <f>'Thiet bi (2.2.4)'!E45</f>
        <v>179297</v>
      </c>
      <c r="F52" s="520">
        <f>'Thiet bi (2.2.4)'!F45</f>
        <v>792291</v>
      </c>
      <c r="G52" s="520">
        <f>'Vat lieu (2.3.4)'!E50</f>
        <v>567374</v>
      </c>
      <c r="H52" s="520">
        <f t="shared" si="0"/>
        <v>14113949</v>
      </c>
      <c r="I52" s="520">
        <f t="shared" si="1"/>
        <v>14293246</v>
      </c>
      <c r="J52" s="506">
        <f t="shared" si="2"/>
        <v>2822790</v>
      </c>
      <c r="K52" s="506">
        <f t="shared" si="3"/>
        <v>2858649</v>
      </c>
      <c r="L52" s="506">
        <f t="shared" si="4"/>
        <v>16936739</v>
      </c>
      <c r="M52" s="506">
        <f t="shared" si="5"/>
        <v>17151895</v>
      </c>
    </row>
    <row r="53" spans="1:13" ht="15.75">
      <c r="A53" s="122" t="s">
        <v>129</v>
      </c>
      <c r="B53" s="216" t="s">
        <v>236</v>
      </c>
      <c r="C53" s="519">
        <f>Lao_dong_KT!N53</f>
        <v>12579190</v>
      </c>
      <c r="D53" s="521">
        <f>'Dung cu (2.1.4)'!E54</f>
        <v>175094</v>
      </c>
      <c r="E53" s="521">
        <f>'Thiet bi (2.2.4)'!E46</f>
        <v>179297</v>
      </c>
      <c r="F53" s="521">
        <f>'Thiet bi (2.2.4)'!F46</f>
        <v>792291</v>
      </c>
      <c r="G53" s="521">
        <f>'Vat lieu (2.3.4)'!E51</f>
        <v>567374</v>
      </c>
      <c r="H53" s="520">
        <f t="shared" si="0"/>
        <v>14113949</v>
      </c>
      <c r="I53" s="520">
        <f t="shared" si="1"/>
        <v>14293246</v>
      </c>
      <c r="J53" s="506">
        <f t="shared" si="2"/>
        <v>2822790</v>
      </c>
      <c r="K53" s="506">
        <f t="shared" si="3"/>
        <v>2858649</v>
      </c>
      <c r="L53" s="506">
        <f t="shared" si="4"/>
        <v>16936739</v>
      </c>
      <c r="M53" s="506">
        <f t="shared" si="5"/>
        <v>17151895</v>
      </c>
    </row>
    <row r="54" spans="1:13" ht="15.75">
      <c r="A54" s="122" t="s">
        <v>130</v>
      </c>
      <c r="B54" s="216" t="s">
        <v>237</v>
      </c>
      <c r="C54" s="519">
        <f>Lao_dong_KT!N54</f>
        <v>10063352</v>
      </c>
      <c r="D54" s="521">
        <f>'Dung cu (2.1.4)'!E55</f>
        <v>140075</v>
      </c>
      <c r="E54" s="521">
        <f>'Thiet bi (2.2.4)'!E47</f>
        <v>143438</v>
      </c>
      <c r="F54" s="521">
        <f>'Thiet bi (2.2.4)'!F47</f>
        <v>633833</v>
      </c>
      <c r="G54" s="521">
        <f>'Vat lieu (2.3.4)'!E52</f>
        <v>453899</v>
      </c>
      <c r="H54" s="520">
        <f t="shared" si="0"/>
        <v>11291159</v>
      </c>
      <c r="I54" s="520">
        <f t="shared" si="1"/>
        <v>11434597</v>
      </c>
      <c r="J54" s="506">
        <f t="shared" si="2"/>
        <v>2258232</v>
      </c>
      <c r="K54" s="506">
        <f t="shared" si="3"/>
        <v>2286919</v>
      </c>
      <c r="L54" s="506">
        <f t="shared" si="4"/>
        <v>13549391</v>
      </c>
      <c r="M54" s="506">
        <f t="shared" si="5"/>
        <v>13721516</v>
      </c>
    </row>
    <row r="55" spans="1:13" ht="15.75">
      <c r="A55" s="122" t="s">
        <v>131</v>
      </c>
      <c r="B55" s="216" t="s">
        <v>238</v>
      </c>
      <c r="C55" s="519">
        <f>Lao_dong_KT!N55</f>
        <v>7547514</v>
      </c>
      <c r="D55" s="521">
        <f>'Dung cu (2.1.4)'!E56</f>
        <v>105057</v>
      </c>
      <c r="E55" s="521">
        <f>'Thiet bi (2.2.4)'!E48</f>
        <v>107578</v>
      </c>
      <c r="F55" s="521">
        <f>'Thiet bi (2.2.4)'!F48</f>
        <v>475375</v>
      </c>
      <c r="G55" s="521">
        <f>'Vat lieu (2.3.4)'!E53</f>
        <v>340424</v>
      </c>
      <c r="H55" s="520">
        <f t="shared" si="0"/>
        <v>8468370</v>
      </c>
      <c r="I55" s="520">
        <f t="shared" si="1"/>
        <v>8575948</v>
      </c>
      <c r="J55" s="506">
        <f t="shared" si="2"/>
        <v>1693674</v>
      </c>
      <c r="K55" s="506">
        <f t="shared" si="3"/>
        <v>1715190</v>
      </c>
      <c r="L55" s="506">
        <f t="shared" si="4"/>
        <v>10162044</v>
      </c>
      <c r="M55" s="506">
        <f t="shared" si="5"/>
        <v>10291138</v>
      </c>
    </row>
    <row r="56" spans="1:13" ht="15.75">
      <c r="A56" s="122" t="s">
        <v>132</v>
      </c>
      <c r="B56" s="216" t="s">
        <v>239</v>
      </c>
      <c r="C56" s="519">
        <f>Lao_dong_KT!N56</f>
        <v>5031676</v>
      </c>
      <c r="D56" s="521">
        <f>'Dung cu (2.1.4)'!E57</f>
        <v>70038</v>
      </c>
      <c r="E56" s="521">
        <f>'Thiet bi (2.2.4)'!E49</f>
        <v>71719</v>
      </c>
      <c r="F56" s="521">
        <f>'Thiet bi (2.2.4)'!F49</f>
        <v>316917</v>
      </c>
      <c r="G56" s="521">
        <f>'Vat lieu (2.3.4)'!E54</f>
        <v>226950</v>
      </c>
      <c r="H56" s="520">
        <f t="shared" si="0"/>
        <v>5645581</v>
      </c>
      <c r="I56" s="520">
        <f t="shared" si="1"/>
        <v>5717300</v>
      </c>
      <c r="J56" s="506">
        <f t="shared" si="2"/>
        <v>1129116</v>
      </c>
      <c r="K56" s="506">
        <f t="shared" si="3"/>
        <v>1143460</v>
      </c>
      <c r="L56" s="506">
        <f t="shared" si="4"/>
        <v>6774697</v>
      </c>
      <c r="M56" s="506">
        <f t="shared" si="5"/>
        <v>6860760</v>
      </c>
    </row>
    <row r="57" spans="1:13" ht="15.75">
      <c r="A57" s="122" t="s">
        <v>230</v>
      </c>
      <c r="B57" s="216" t="s">
        <v>240</v>
      </c>
      <c r="C57" s="519">
        <f>Lao_dong_KT!N57</f>
        <v>5031676</v>
      </c>
      <c r="D57" s="521">
        <f>'Dung cu (2.1.4)'!E58</f>
        <v>70038</v>
      </c>
      <c r="E57" s="521">
        <f>'Thiet bi (2.2.4)'!E50</f>
        <v>71719</v>
      </c>
      <c r="F57" s="521">
        <f>'Thiet bi (2.2.4)'!F50</f>
        <v>316917</v>
      </c>
      <c r="G57" s="521">
        <f>'Vat lieu (2.3.4)'!E55</f>
        <v>226950</v>
      </c>
      <c r="H57" s="520">
        <f t="shared" si="0"/>
        <v>5645581</v>
      </c>
      <c r="I57" s="520">
        <f t="shared" si="1"/>
        <v>5717300</v>
      </c>
      <c r="J57" s="506">
        <f t="shared" si="2"/>
        <v>1129116</v>
      </c>
      <c r="K57" s="506">
        <f t="shared" si="3"/>
        <v>1143460</v>
      </c>
      <c r="L57" s="506">
        <f t="shared" si="4"/>
        <v>6774697</v>
      </c>
      <c r="M57" s="506">
        <f t="shared" si="5"/>
        <v>6860760</v>
      </c>
    </row>
    <row r="58" spans="1:13" ht="15.75">
      <c r="A58" s="264">
        <v>5</v>
      </c>
      <c r="B58" s="524" t="s">
        <v>113</v>
      </c>
      <c r="C58" s="513">
        <f>Lao_dong_KT!N58</f>
        <v>0</v>
      </c>
      <c r="D58" s="514">
        <v>0</v>
      </c>
      <c r="E58" s="514">
        <v>0</v>
      </c>
      <c r="F58" s="514">
        <v>0</v>
      </c>
      <c r="G58" s="514">
        <v>0</v>
      </c>
      <c r="H58" s="520">
        <f t="shared" si="0"/>
        <v>0</v>
      </c>
      <c r="I58" s="514">
        <f t="shared" si="1"/>
        <v>0</v>
      </c>
      <c r="J58" s="506">
        <f t="shared" si="2"/>
        <v>0</v>
      </c>
      <c r="K58" s="506">
        <f t="shared" si="3"/>
        <v>0</v>
      </c>
      <c r="L58" s="506">
        <f t="shared" si="4"/>
        <v>0</v>
      </c>
      <c r="M58" s="506">
        <f t="shared" si="5"/>
        <v>0</v>
      </c>
    </row>
    <row r="59" spans="1:13" ht="15.75">
      <c r="A59" s="516" t="s">
        <v>266</v>
      </c>
      <c r="B59" s="523" t="s">
        <v>332</v>
      </c>
      <c r="C59" s="519">
        <f>Lao_dong_KT!N59</f>
        <v>267762</v>
      </c>
      <c r="D59" s="520">
        <f>'Dung cu (2.1.5)'!D25</f>
        <v>5048</v>
      </c>
      <c r="E59" s="520">
        <f>'Thiet bi (2.2.5)'!D23</f>
        <v>5534</v>
      </c>
      <c r="F59" s="520">
        <f>'Thiet bi (2.2.5)'!E23</f>
        <v>22642</v>
      </c>
      <c r="G59" s="520">
        <f>'Vat lieu (2.3.5)'!D26</f>
        <v>1266386</v>
      </c>
      <c r="H59" s="520">
        <f t="shared" si="0"/>
        <v>1561838</v>
      </c>
      <c r="I59" s="520">
        <f t="shared" si="1"/>
        <v>1567372</v>
      </c>
      <c r="J59" s="506">
        <f t="shared" si="2"/>
        <v>312368</v>
      </c>
      <c r="K59" s="506">
        <f t="shared" si="3"/>
        <v>313474</v>
      </c>
      <c r="L59" s="506">
        <f t="shared" si="4"/>
        <v>1874206</v>
      </c>
      <c r="M59" s="506">
        <f t="shared" si="5"/>
        <v>1880846</v>
      </c>
    </row>
    <row r="60" spans="1:13" ht="15.75">
      <c r="A60" s="516" t="s">
        <v>267</v>
      </c>
      <c r="B60" s="523" t="s">
        <v>235</v>
      </c>
      <c r="C60" s="519">
        <f>Lao_dong_KT!N60</f>
        <v>120865</v>
      </c>
      <c r="D60" s="520">
        <f>'Dung cu (2.1.5)'!D26</f>
        <v>3029</v>
      </c>
      <c r="E60" s="520">
        <f>'Thiet bi (2.2.5)'!D24</f>
        <v>3321</v>
      </c>
      <c r="F60" s="520">
        <f>'Thiet bi (2.2.5)'!E24</f>
        <v>13585</v>
      </c>
      <c r="G60" s="520">
        <f>'Vat lieu (2.3.5)'!D27</f>
        <v>759832</v>
      </c>
      <c r="H60" s="520">
        <f t="shared" si="0"/>
        <v>897311</v>
      </c>
      <c r="I60" s="520">
        <f t="shared" si="1"/>
        <v>900632</v>
      </c>
      <c r="J60" s="506">
        <f t="shared" si="2"/>
        <v>179462</v>
      </c>
      <c r="K60" s="506">
        <f t="shared" si="3"/>
        <v>180126</v>
      </c>
      <c r="L60" s="506">
        <f t="shared" si="4"/>
        <v>1076773</v>
      </c>
      <c r="M60" s="506">
        <f t="shared" si="5"/>
        <v>1080758</v>
      </c>
    </row>
    <row r="61" spans="1:13" ht="31.5">
      <c r="A61" s="516" t="s">
        <v>333</v>
      </c>
      <c r="B61" s="523" t="s">
        <v>114</v>
      </c>
      <c r="C61" s="519">
        <f>Lao_dong_KT!N61</f>
        <v>94213</v>
      </c>
      <c r="D61" s="520">
        <f>'Dung cu (2.1.5)'!D27</f>
        <v>3533</v>
      </c>
      <c r="E61" s="520">
        <f>'Thiet bi (2.2.5)'!D25</f>
        <v>3874</v>
      </c>
      <c r="F61" s="520">
        <f>'Thiet bi (2.2.5)'!E25</f>
        <v>15849</v>
      </c>
      <c r="G61" s="520">
        <f>'Vat lieu (2.3.5)'!D28</f>
        <v>886470</v>
      </c>
      <c r="H61" s="520">
        <f t="shared" si="0"/>
        <v>1000065</v>
      </c>
      <c r="I61" s="520">
        <f t="shared" si="1"/>
        <v>1003939</v>
      </c>
      <c r="J61" s="506">
        <f t="shared" si="2"/>
        <v>200013</v>
      </c>
      <c r="K61" s="506">
        <f t="shared" si="3"/>
        <v>200788</v>
      </c>
      <c r="L61" s="506">
        <f t="shared" si="4"/>
        <v>1200078</v>
      </c>
      <c r="M61" s="506">
        <f t="shared" si="5"/>
        <v>1204727</v>
      </c>
    </row>
    <row r="62" spans="1:13" ht="15.75">
      <c r="A62" s="264">
        <v>6</v>
      </c>
      <c r="B62" s="525" t="s">
        <v>115</v>
      </c>
      <c r="C62" s="513">
        <f>Lao_dong_KT!N62</f>
        <v>247927</v>
      </c>
      <c r="D62" s="514">
        <f>'Dung cu (2.1.6)'!D24</f>
        <v>3399</v>
      </c>
      <c r="E62" s="514">
        <f>'Thiet bi (2.2.6)'!D22</f>
        <v>1546</v>
      </c>
      <c r="F62" s="514">
        <f>'Thiet bi (2.2.6)'!E22</f>
        <v>9444</v>
      </c>
      <c r="G62" s="514">
        <f>'Vat lieu (2.3.6)'!D21</f>
        <v>61535</v>
      </c>
      <c r="H62" s="514">
        <f t="shared" si="0"/>
        <v>322305</v>
      </c>
      <c r="I62" s="514">
        <f t="shared" si="1"/>
        <v>323851</v>
      </c>
      <c r="J62" s="526">
        <f t="shared" si="2"/>
        <v>64461</v>
      </c>
      <c r="K62" s="526">
        <f t="shared" si="3"/>
        <v>64770</v>
      </c>
      <c r="L62" s="526">
        <f t="shared" si="4"/>
        <v>386766</v>
      </c>
      <c r="M62" s="526">
        <f t="shared" si="5"/>
        <v>388621</v>
      </c>
    </row>
    <row r="63" spans="1:13" ht="15.75">
      <c r="A63" s="264">
        <v>7</v>
      </c>
      <c r="B63" s="525" t="s">
        <v>116</v>
      </c>
      <c r="C63" s="513">
        <f>Lao_dong_KT!N63</f>
        <v>1163032</v>
      </c>
      <c r="D63" s="514">
        <f>'Dung cu (2.1.7)'!D25</f>
        <v>17667</v>
      </c>
      <c r="E63" s="514">
        <f>'Thiet bi (2.2.7)'!D20</f>
        <v>6707</v>
      </c>
      <c r="F63" s="514">
        <f>'Thiet bi (2.2.7)'!E20</f>
        <v>48351</v>
      </c>
      <c r="G63" s="514">
        <f>'Vat lieu (2.3.7)'!D22</f>
        <v>3305610</v>
      </c>
      <c r="H63" s="514">
        <f t="shared" si="0"/>
        <v>4534660</v>
      </c>
      <c r="I63" s="514">
        <f t="shared" si="1"/>
        <v>4541367</v>
      </c>
      <c r="J63" s="526">
        <f t="shared" si="2"/>
        <v>906932</v>
      </c>
      <c r="K63" s="526">
        <f t="shared" si="3"/>
        <v>908273</v>
      </c>
      <c r="L63" s="526">
        <f t="shared" si="4"/>
        <v>5441592</v>
      </c>
      <c r="M63" s="526">
        <f t="shared" si="5"/>
        <v>5449640</v>
      </c>
    </row>
    <row r="64" spans="1:13" ht="15.75">
      <c r="A64" s="516" t="s">
        <v>334</v>
      </c>
      <c r="B64" s="523" t="s">
        <v>117</v>
      </c>
      <c r="C64" s="519">
        <f>Lao_dong_KT!N64</f>
        <v>348910</v>
      </c>
      <c r="D64" s="520">
        <f>'Dung cu (2.1.7)'!D26</f>
        <v>5277</v>
      </c>
      <c r="E64" s="520">
        <f>'Thiet bi (2.2.7)'!D21</f>
        <v>2004</v>
      </c>
      <c r="F64" s="520">
        <f>'Thiet bi (2.2.7)'!E21</f>
        <v>14443</v>
      </c>
      <c r="G64" s="520">
        <f>'Vat lieu (2.3.7)'!D23</f>
        <v>987390</v>
      </c>
      <c r="H64" s="520">
        <f t="shared" si="0"/>
        <v>1356020</v>
      </c>
      <c r="I64" s="520">
        <f t="shared" si="1"/>
        <v>1358024</v>
      </c>
      <c r="J64" s="506">
        <f t="shared" si="2"/>
        <v>271204</v>
      </c>
      <c r="K64" s="506">
        <f t="shared" si="3"/>
        <v>271605</v>
      </c>
      <c r="L64" s="506">
        <f t="shared" si="4"/>
        <v>1627224</v>
      </c>
      <c r="M64" s="506">
        <f t="shared" si="5"/>
        <v>1629629</v>
      </c>
    </row>
    <row r="65" spans="1:13" ht="15.75">
      <c r="A65" s="516" t="s">
        <v>335</v>
      </c>
      <c r="B65" s="523" t="s">
        <v>118</v>
      </c>
      <c r="C65" s="519">
        <f>Lao_dong_KT!N65</f>
        <v>814123</v>
      </c>
      <c r="D65" s="520">
        <f>'Dung cu (2.1.7)'!D27</f>
        <v>0</v>
      </c>
      <c r="E65" s="520">
        <f>'Thiet bi (2.2.7)'!D22</f>
        <v>0</v>
      </c>
      <c r="F65" s="520">
        <f>'Thiet bi (2.2.7)'!E22</f>
        <v>0</v>
      </c>
      <c r="G65" s="520">
        <f>'Vat lieu (2.3.7)'!D24</f>
        <v>0</v>
      </c>
      <c r="H65" s="520">
        <f t="shared" si="0"/>
        <v>814123</v>
      </c>
      <c r="I65" s="520">
        <f t="shared" si="1"/>
        <v>814123</v>
      </c>
      <c r="J65" s="506">
        <f t="shared" si="2"/>
        <v>162825</v>
      </c>
      <c r="K65" s="506">
        <f t="shared" si="3"/>
        <v>162825</v>
      </c>
      <c r="L65" s="506">
        <f t="shared" si="4"/>
        <v>976948</v>
      </c>
      <c r="M65" s="506">
        <f t="shared" si="5"/>
        <v>976948</v>
      </c>
    </row>
    <row r="66" spans="1:13" ht="15.75">
      <c r="A66" s="122" t="s">
        <v>336</v>
      </c>
      <c r="B66" s="432" t="s">
        <v>337</v>
      </c>
      <c r="C66" s="519">
        <f>Lao_dong_KT!N66</f>
        <v>348910</v>
      </c>
      <c r="D66" s="520">
        <f>'Dung cu (2.1.7)'!D28</f>
        <v>5277</v>
      </c>
      <c r="E66" s="520">
        <f>'Thiet bi (2.2.7)'!D23</f>
        <v>2004</v>
      </c>
      <c r="F66" s="520">
        <f>'Thiet bi (2.2.7)'!E23</f>
        <v>14443</v>
      </c>
      <c r="G66" s="520">
        <f>'Vat lieu (2.3.7)'!D25</f>
        <v>987390</v>
      </c>
      <c r="H66" s="520">
        <f t="shared" si="0"/>
        <v>1356020</v>
      </c>
      <c r="I66" s="520">
        <f t="shared" si="1"/>
        <v>1358024</v>
      </c>
      <c r="J66" s="506">
        <f t="shared" si="2"/>
        <v>271204</v>
      </c>
      <c r="K66" s="506">
        <f t="shared" si="3"/>
        <v>271605</v>
      </c>
      <c r="L66" s="506">
        <f t="shared" si="4"/>
        <v>1627224</v>
      </c>
      <c r="M66" s="506">
        <f t="shared" si="5"/>
        <v>1629629</v>
      </c>
    </row>
    <row r="67" spans="1:13" ht="15.75">
      <c r="A67" s="474" t="s">
        <v>338</v>
      </c>
      <c r="B67" s="508" t="s">
        <v>231</v>
      </c>
      <c r="C67" s="509">
        <f>Lao_dong_KT!N67</f>
        <v>465213</v>
      </c>
      <c r="D67" s="510">
        <f>'Dung cu (2.1.7)'!D29</f>
        <v>7113</v>
      </c>
      <c r="E67" s="510">
        <f>'Thiet bi (2.2.7)'!D24</f>
        <v>2700</v>
      </c>
      <c r="F67" s="510">
        <f>'Thiet bi (2.2.7)'!E24</f>
        <v>19466</v>
      </c>
      <c r="G67" s="510">
        <f>'Vat lieu (2.3.7)'!D26</f>
        <v>1330830</v>
      </c>
      <c r="H67" s="520">
        <f t="shared" si="0"/>
        <v>1822622</v>
      </c>
      <c r="I67" s="510">
        <f t="shared" si="1"/>
        <v>1825322</v>
      </c>
      <c r="J67" s="506">
        <f t="shared" si="2"/>
        <v>364524</v>
      </c>
      <c r="K67" s="506">
        <f t="shared" si="3"/>
        <v>365064</v>
      </c>
      <c r="L67" s="506">
        <f t="shared" si="4"/>
        <v>2187146</v>
      </c>
      <c r="M67" s="506">
        <f t="shared" si="5"/>
        <v>2190386</v>
      </c>
    </row>
    <row r="68" spans="1:13">
      <c r="B68" s="167"/>
      <c r="D68" s="171"/>
      <c r="E68" s="171"/>
      <c r="F68" s="171"/>
      <c r="G68" s="171"/>
      <c r="H68" s="171"/>
      <c r="I68" s="168"/>
    </row>
    <row r="71" spans="1:13" ht="27" customHeight="1"/>
    <row r="75" spans="1:13" ht="24.95" customHeight="1"/>
    <row r="76" spans="1:13" ht="24.95" customHeight="1"/>
    <row r="78" spans="1:13" ht="24.95" customHeight="1"/>
    <row r="81" ht="24.95" customHeight="1"/>
    <row r="82" ht="24.95" customHeight="1"/>
    <row r="83" ht="35.1" customHeight="1"/>
    <row r="86" ht="35.1" customHeight="1"/>
    <row r="88" ht="35.1" customHeight="1"/>
    <row r="89" ht="35.1" customHeight="1"/>
    <row r="90" ht="24.95" customHeight="1"/>
    <row r="91" ht="35.1" customHeight="1"/>
    <row r="92" ht="24.95" customHeight="1"/>
  </sheetData>
  <mergeCells count="12">
    <mergeCell ref="G4:G5"/>
    <mergeCell ref="L3:M3"/>
    <mergeCell ref="A1:E1"/>
    <mergeCell ref="E4:F4"/>
    <mergeCell ref="A4:A5"/>
    <mergeCell ref="B4:B5"/>
    <mergeCell ref="C4:C5"/>
    <mergeCell ref="A2:M2"/>
    <mergeCell ref="D4:D5"/>
    <mergeCell ref="H4:I4"/>
    <mergeCell ref="J4:K4"/>
    <mergeCell ref="L4:M4"/>
  </mergeCells>
  <printOptions horizontalCentered="1"/>
  <pageMargins left="0" right="0" top="0.25" bottom="0.25" header="0.3" footer="0.25"/>
  <pageSetup paperSize="9" scale="8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105"/>
  <sheetViews>
    <sheetView topLeftCell="A79" zoomScale="90" zoomScaleNormal="90" workbookViewId="0">
      <selection activeCell="T48" sqref="T48"/>
    </sheetView>
  </sheetViews>
  <sheetFormatPr defaultRowHeight="15"/>
  <cols>
    <col min="1" max="1" width="7.7109375" style="552" customWidth="1"/>
    <col min="2" max="2" width="43.5703125" style="527" customWidth="1"/>
    <col min="3" max="3" width="13.5703125" style="527" hidden="1" customWidth="1"/>
    <col min="4" max="4" width="11.42578125" style="527" hidden="1" customWidth="1"/>
    <col min="5" max="5" width="12.140625" style="527" hidden="1" customWidth="1"/>
    <col min="6" max="6" width="12.85546875" style="527" hidden="1" customWidth="1"/>
    <col min="7" max="7" width="14.28515625" style="527" hidden="1" customWidth="1"/>
    <col min="8" max="8" width="12.85546875" style="527" hidden="1" customWidth="1"/>
    <col min="9" max="10" width="14.85546875" style="527" hidden="1" customWidth="1"/>
    <col min="11" max="11" width="5.42578125" style="527" hidden="1" customWidth="1"/>
    <col min="12" max="12" width="11.7109375" style="552" customWidth="1"/>
    <col min="13" max="13" width="13.7109375" style="527" customWidth="1"/>
    <col min="14" max="14" width="14.42578125" style="527" customWidth="1"/>
    <col min="15" max="15" width="18.85546875" style="527" customWidth="1"/>
    <col min="16" max="16" width="10.140625" style="527" bestFit="1" customWidth="1"/>
    <col min="17" max="17" width="12" style="527" customWidth="1"/>
    <col min="18" max="18" width="9.140625" style="527"/>
    <col min="19" max="19" width="11.140625" style="527" bestFit="1" customWidth="1"/>
    <col min="20" max="20" width="12.42578125" style="527" customWidth="1"/>
    <col min="21" max="21" width="9.28515625" style="527" bestFit="1" customWidth="1"/>
    <col min="22" max="22" width="10.140625" style="527" bestFit="1" customWidth="1"/>
    <col min="23" max="16384" width="9.140625" style="527"/>
  </cols>
  <sheetData>
    <row r="1" spans="1:15" ht="18" customHeight="1">
      <c r="A1" s="650" t="s">
        <v>350</v>
      </c>
      <c r="B1" s="650"/>
      <c r="C1" s="650"/>
      <c r="D1" s="650"/>
      <c r="E1" s="650"/>
      <c r="F1" s="650"/>
      <c r="G1" s="650"/>
      <c r="H1" s="650"/>
      <c r="I1" s="650"/>
      <c r="J1" s="650"/>
      <c r="K1" s="650"/>
      <c r="L1" s="650"/>
      <c r="M1" s="650"/>
      <c r="N1" s="650"/>
    </row>
    <row r="2" spans="1:15" ht="20.25" customHeight="1">
      <c r="A2" s="659" t="s">
        <v>364</v>
      </c>
      <c r="B2" s="659"/>
      <c r="C2" s="659"/>
      <c r="D2" s="659"/>
      <c r="E2" s="659"/>
      <c r="F2" s="659"/>
      <c r="G2" s="659"/>
      <c r="H2" s="659"/>
      <c r="I2" s="659"/>
      <c r="J2" s="659"/>
      <c r="K2" s="659"/>
      <c r="L2" s="659"/>
      <c r="M2" s="659"/>
      <c r="N2" s="528"/>
    </row>
    <row r="3" spans="1:15" ht="18.75" customHeight="1">
      <c r="A3" s="528"/>
      <c r="B3" s="529"/>
      <c r="C3" s="529"/>
      <c r="D3" s="529"/>
      <c r="E3" s="529"/>
      <c r="F3" s="529"/>
      <c r="G3" s="529"/>
      <c r="H3" s="529"/>
      <c r="I3" s="529"/>
      <c r="J3" s="529"/>
      <c r="K3" s="529"/>
      <c r="L3" s="557"/>
      <c r="M3" s="530"/>
      <c r="O3" s="530" t="s">
        <v>242</v>
      </c>
    </row>
    <row r="4" spans="1:15" ht="21.75" customHeight="1">
      <c r="A4" s="651" t="s">
        <v>46</v>
      </c>
      <c r="B4" s="651" t="s">
        <v>15</v>
      </c>
      <c r="C4" s="651" t="s">
        <v>244</v>
      </c>
      <c r="D4" s="651" t="s">
        <v>246</v>
      </c>
      <c r="E4" s="651" t="s">
        <v>247</v>
      </c>
      <c r="F4" s="651"/>
      <c r="G4" s="651" t="s">
        <v>245</v>
      </c>
      <c r="H4" s="652" t="s">
        <v>203</v>
      </c>
      <c r="I4" s="652"/>
      <c r="J4" s="652" t="s">
        <v>243</v>
      </c>
      <c r="K4" s="652"/>
      <c r="L4" s="657" t="s">
        <v>402</v>
      </c>
      <c r="M4" s="651" t="s">
        <v>367</v>
      </c>
      <c r="N4" s="651"/>
      <c r="O4" s="653" t="s">
        <v>392</v>
      </c>
    </row>
    <row r="5" spans="1:15" ht="39.75" customHeight="1">
      <c r="A5" s="651"/>
      <c r="B5" s="651"/>
      <c r="C5" s="651"/>
      <c r="D5" s="651"/>
      <c r="E5" s="531" t="s">
        <v>232</v>
      </c>
      <c r="F5" s="531" t="s">
        <v>233</v>
      </c>
      <c r="G5" s="651"/>
      <c r="H5" s="532" t="s">
        <v>365</v>
      </c>
      <c r="I5" s="532" t="s">
        <v>366</v>
      </c>
      <c r="J5" s="532" t="s">
        <v>365</v>
      </c>
      <c r="K5" s="532" t="s">
        <v>366</v>
      </c>
      <c r="L5" s="658"/>
      <c r="M5" s="532" t="s">
        <v>365</v>
      </c>
      <c r="N5" s="532" t="s">
        <v>366</v>
      </c>
      <c r="O5" s="653"/>
    </row>
    <row r="6" spans="1:15" ht="18.75" customHeight="1">
      <c r="A6" s="533" t="s">
        <v>248</v>
      </c>
      <c r="B6" s="533" t="s">
        <v>249</v>
      </c>
      <c r="C6" s="534" t="s">
        <v>7</v>
      </c>
      <c r="D6" s="534" t="s">
        <v>8</v>
      </c>
      <c r="E6" s="534" t="s">
        <v>9</v>
      </c>
      <c r="F6" s="534" t="s">
        <v>21</v>
      </c>
      <c r="G6" s="534" t="s">
        <v>52</v>
      </c>
      <c r="H6" s="533" t="s">
        <v>363</v>
      </c>
      <c r="I6" s="533" t="s">
        <v>358</v>
      </c>
      <c r="J6" s="533" t="s">
        <v>359</v>
      </c>
      <c r="K6" s="533" t="s">
        <v>360</v>
      </c>
      <c r="L6" s="533"/>
      <c r="M6" s="533" t="s">
        <v>7</v>
      </c>
      <c r="N6" s="533" t="s">
        <v>8</v>
      </c>
      <c r="O6" s="554" t="s">
        <v>399</v>
      </c>
    </row>
    <row r="7" spans="1:15" ht="15.75">
      <c r="A7" s="536">
        <v>1</v>
      </c>
      <c r="B7" s="537" t="s">
        <v>298</v>
      </c>
      <c r="C7" s="538">
        <f>Tong_hop!C7</f>
        <v>208928</v>
      </c>
      <c r="D7" s="538">
        <f>Tong_hop!D7</f>
        <v>2576</v>
      </c>
      <c r="E7" s="538">
        <f>Tong_hop!E7</f>
        <v>637</v>
      </c>
      <c r="F7" s="538">
        <f>Tong_hop!F7</f>
        <v>6379</v>
      </c>
      <c r="G7" s="538">
        <f>Tong_hop!G7</f>
        <v>24434</v>
      </c>
      <c r="H7" s="538">
        <f>ROUND((C7+D7+F7+G7),0)</f>
        <v>242317</v>
      </c>
      <c r="I7" s="538">
        <f>ROUND((C7+D7+E7+F7+G7),0)</f>
        <v>242954</v>
      </c>
      <c r="J7" s="538">
        <f>ROUND((H7*20%),0)</f>
        <v>48463</v>
      </c>
      <c r="K7" s="538">
        <f>ROUND((I7*20%),0)</f>
        <v>48591</v>
      </c>
      <c r="L7" s="556" t="s">
        <v>404</v>
      </c>
      <c r="M7" s="539">
        <f t="shared" ref="M7:M29" si="0">ROUND((H7+J7),0)</f>
        <v>290780</v>
      </c>
      <c r="N7" s="538">
        <f t="shared" ref="N7:N29" si="1">ROUND((I7+K7),0)</f>
        <v>291545</v>
      </c>
      <c r="O7" s="535"/>
    </row>
    <row r="8" spans="1:15" ht="31.5">
      <c r="A8" s="536">
        <v>2</v>
      </c>
      <c r="B8" s="540" t="s">
        <v>99</v>
      </c>
      <c r="C8" s="538">
        <f>Tong_hop!C8</f>
        <v>931470</v>
      </c>
      <c r="D8" s="538">
        <f>Tong_hop!D8</f>
        <v>14242</v>
      </c>
      <c r="E8" s="538">
        <f>Tong_hop!E8</f>
        <v>15281</v>
      </c>
      <c r="F8" s="538">
        <f>Tong_hop!F8</f>
        <v>61750</v>
      </c>
      <c r="G8" s="538">
        <f>Tong_hop!G8</f>
        <v>460210</v>
      </c>
      <c r="H8" s="538">
        <f t="shared" ref="H8:H87" si="2">ROUND((C8+D8+F8+G8),0)</f>
        <v>1467672</v>
      </c>
      <c r="I8" s="538">
        <f t="shared" ref="I8:I87" si="3">ROUND((C8+D8+E8+F8+G8),0)</f>
        <v>1482953</v>
      </c>
      <c r="J8" s="538">
        <f t="shared" ref="J8:J87" si="4">ROUND((H8*20%),0)</f>
        <v>293534</v>
      </c>
      <c r="K8" s="538">
        <f>ROUND((I8*20%),0)</f>
        <v>296591</v>
      </c>
      <c r="L8" s="556" t="s">
        <v>405</v>
      </c>
      <c r="M8" s="539">
        <f t="shared" si="0"/>
        <v>1761206</v>
      </c>
      <c r="N8" s="538">
        <f t="shared" si="1"/>
        <v>1779544</v>
      </c>
      <c r="O8" s="535"/>
    </row>
    <row r="9" spans="1:15" ht="31.5">
      <c r="A9" s="536">
        <v>3</v>
      </c>
      <c r="B9" s="540" t="s">
        <v>100</v>
      </c>
      <c r="C9" s="538">
        <f>Tong_hop!C9</f>
        <v>18099689</v>
      </c>
      <c r="D9" s="538">
        <f>Tong_hop!D9</f>
        <v>256546</v>
      </c>
      <c r="E9" s="538">
        <f>Tong_hop!E9</f>
        <v>117417</v>
      </c>
      <c r="F9" s="538">
        <f>Tong_hop!F9</f>
        <v>787872</v>
      </c>
      <c r="G9" s="538">
        <f>Tong_hop!G9</f>
        <v>2383993</v>
      </c>
      <c r="H9" s="538">
        <f t="shared" si="2"/>
        <v>21528100</v>
      </c>
      <c r="I9" s="538">
        <f t="shared" si="3"/>
        <v>21645517</v>
      </c>
      <c r="J9" s="538">
        <f t="shared" si="4"/>
        <v>4305620</v>
      </c>
      <c r="K9" s="538">
        <f>ROUND((I9*20%),0)</f>
        <v>4329103</v>
      </c>
      <c r="L9" s="556" t="s">
        <v>403</v>
      </c>
      <c r="M9" s="539">
        <f t="shared" si="0"/>
        <v>25833720</v>
      </c>
      <c r="N9" s="538">
        <f t="shared" si="1"/>
        <v>25974620</v>
      </c>
      <c r="O9" s="535"/>
    </row>
    <row r="10" spans="1:15" ht="31.5">
      <c r="A10" s="533" t="s">
        <v>40</v>
      </c>
      <c r="B10" s="541" t="s">
        <v>100</v>
      </c>
      <c r="C10" s="542">
        <f>Tong_hop!C10</f>
        <v>415784</v>
      </c>
      <c r="D10" s="542">
        <f>Tong_hop!D10</f>
        <v>5787</v>
      </c>
      <c r="E10" s="542">
        <f>Tong_hop!E10</f>
        <v>2649</v>
      </c>
      <c r="F10" s="542">
        <f>Tong_hop!F10</f>
        <v>17772</v>
      </c>
      <c r="G10" s="542">
        <f>Tong_hop!G10</f>
        <v>53774</v>
      </c>
      <c r="H10" s="542">
        <f t="shared" si="2"/>
        <v>493117</v>
      </c>
      <c r="I10" s="542">
        <f t="shared" si="3"/>
        <v>495766</v>
      </c>
      <c r="J10" s="542">
        <f t="shared" si="4"/>
        <v>98623</v>
      </c>
      <c r="K10" s="542">
        <f>ROUND((I10*20%),0)</f>
        <v>99153</v>
      </c>
      <c r="L10" s="555" t="s">
        <v>403</v>
      </c>
      <c r="M10" s="543">
        <f t="shared" si="0"/>
        <v>591740</v>
      </c>
      <c r="N10" s="542">
        <f t="shared" si="1"/>
        <v>594919</v>
      </c>
      <c r="O10" s="535"/>
    </row>
    <row r="11" spans="1:15" ht="31.5">
      <c r="A11" s="533" t="s">
        <v>129</v>
      </c>
      <c r="B11" s="553" t="s">
        <v>225</v>
      </c>
      <c r="C11" s="542">
        <f>Tong_hop!C11</f>
        <v>415784</v>
      </c>
      <c r="D11" s="542">
        <f>Tong_hop!D11</f>
        <v>5787</v>
      </c>
      <c r="E11" s="542">
        <f>Tong_hop!E11</f>
        <v>2649</v>
      </c>
      <c r="F11" s="542">
        <f>Tong_hop!F11</f>
        <v>17772</v>
      </c>
      <c r="G11" s="542">
        <f>Tong_hop!G11</f>
        <v>53774</v>
      </c>
      <c r="H11" s="542">
        <f t="shared" si="2"/>
        <v>493117</v>
      </c>
      <c r="I11" s="542">
        <f t="shared" si="3"/>
        <v>495766</v>
      </c>
      <c r="J11" s="542">
        <f t="shared" si="4"/>
        <v>98623</v>
      </c>
      <c r="K11" s="542">
        <f t="shared" ref="K11:K87" si="5">ROUND((I11*20%),0)</f>
        <v>99153</v>
      </c>
      <c r="L11" s="555" t="s">
        <v>403</v>
      </c>
      <c r="M11" s="543">
        <f t="shared" si="0"/>
        <v>591740</v>
      </c>
      <c r="N11" s="542">
        <f t="shared" si="1"/>
        <v>594919</v>
      </c>
      <c r="O11" s="535"/>
    </row>
    <row r="12" spans="1:15" ht="31.5">
      <c r="A12" s="533" t="s">
        <v>130</v>
      </c>
      <c r="B12" s="553" t="s">
        <v>226</v>
      </c>
      <c r="C12" s="542">
        <f>Tong_hop!C12</f>
        <v>207892</v>
      </c>
      <c r="D12" s="542">
        <f>Tong_hop!D12</f>
        <v>2893</v>
      </c>
      <c r="E12" s="542">
        <f>Tong_hop!E12</f>
        <v>1324</v>
      </c>
      <c r="F12" s="542">
        <f>Tong_hop!F12</f>
        <v>8886</v>
      </c>
      <c r="G12" s="542">
        <f>Tong_hop!G12</f>
        <v>26887</v>
      </c>
      <c r="H12" s="542">
        <f t="shared" si="2"/>
        <v>246558</v>
      </c>
      <c r="I12" s="542">
        <f t="shared" si="3"/>
        <v>247882</v>
      </c>
      <c r="J12" s="542">
        <f t="shared" si="4"/>
        <v>49312</v>
      </c>
      <c r="K12" s="542">
        <f t="shared" si="5"/>
        <v>49576</v>
      </c>
      <c r="L12" s="555" t="s">
        <v>403</v>
      </c>
      <c r="M12" s="543">
        <f t="shared" si="0"/>
        <v>295870</v>
      </c>
      <c r="N12" s="542">
        <f t="shared" si="1"/>
        <v>297458</v>
      </c>
      <c r="O12" s="535"/>
    </row>
    <row r="13" spans="1:15" ht="31.5">
      <c r="A13" s="533" t="s">
        <v>131</v>
      </c>
      <c r="B13" s="553" t="s">
        <v>227</v>
      </c>
      <c r="C13" s="542">
        <f>Tong_hop!C13</f>
        <v>249470</v>
      </c>
      <c r="D13" s="542">
        <f>Tong_hop!D13</f>
        <v>3472</v>
      </c>
      <c r="E13" s="542">
        <f>Tong_hop!E13</f>
        <v>1589</v>
      </c>
      <c r="F13" s="542">
        <f>Tong_hop!F13</f>
        <v>10663</v>
      </c>
      <c r="G13" s="542">
        <f>Tong_hop!G13</f>
        <v>32265</v>
      </c>
      <c r="H13" s="542">
        <f t="shared" si="2"/>
        <v>295870</v>
      </c>
      <c r="I13" s="542">
        <f t="shared" si="3"/>
        <v>297459</v>
      </c>
      <c r="J13" s="542">
        <f t="shared" si="4"/>
        <v>59174</v>
      </c>
      <c r="K13" s="542">
        <f t="shared" si="5"/>
        <v>59492</v>
      </c>
      <c r="L13" s="555" t="s">
        <v>403</v>
      </c>
      <c r="M13" s="543">
        <f t="shared" si="0"/>
        <v>355044</v>
      </c>
      <c r="N13" s="542">
        <f t="shared" si="1"/>
        <v>356951</v>
      </c>
      <c r="O13" s="535"/>
    </row>
    <row r="14" spans="1:15" ht="31.5">
      <c r="A14" s="533" t="s">
        <v>132</v>
      </c>
      <c r="B14" s="553" t="s">
        <v>228</v>
      </c>
      <c r="C14" s="542">
        <f>Tong_hop!C14</f>
        <v>291049</v>
      </c>
      <c r="D14" s="542">
        <f>Tong_hop!D14</f>
        <v>4051</v>
      </c>
      <c r="E14" s="542">
        <f>Tong_hop!E14</f>
        <v>1854</v>
      </c>
      <c r="F14" s="542">
        <f>Tong_hop!F14</f>
        <v>12440</v>
      </c>
      <c r="G14" s="542">
        <f>Tong_hop!G14</f>
        <v>37642</v>
      </c>
      <c r="H14" s="542">
        <f t="shared" si="2"/>
        <v>345182</v>
      </c>
      <c r="I14" s="542">
        <f t="shared" si="3"/>
        <v>347036</v>
      </c>
      <c r="J14" s="542">
        <f t="shared" si="4"/>
        <v>69036</v>
      </c>
      <c r="K14" s="542">
        <f t="shared" si="5"/>
        <v>69407</v>
      </c>
      <c r="L14" s="555" t="s">
        <v>403</v>
      </c>
      <c r="M14" s="543">
        <f t="shared" si="0"/>
        <v>414218</v>
      </c>
      <c r="N14" s="542">
        <f t="shared" si="1"/>
        <v>416443</v>
      </c>
      <c r="O14" s="535"/>
    </row>
    <row r="15" spans="1:15" ht="31.5">
      <c r="A15" s="533" t="s">
        <v>230</v>
      </c>
      <c r="B15" s="553" t="s">
        <v>229</v>
      </c>
      <c r="C15" s="542">
        <f>Tong_hop!C15</f>
        <v>207892</v>
      </c>
      <c r="D15" s="542">
        <f>Tong_hop!D15</f>
        <v>2893</v>
      </c>
      <c r="E15" s="542">
        <f>Tong_hop!E15</f>
        <v>1324</v>
      </c>
      <c r="F15" s="542">
        <f>Tong_hop!F15</f>
        <v>8886</v>
      </c>
      <c r="G15" s="542">
        <f>Tong_hop!G15</f>
        <v>26887</v>
      </c>
      <c r="H15" s="542">
        <f t="shared" si="2"/>
        <v>246558</v>
      </c>
      <c r="I15" s="542">
        <f t="shared" si="3"/>
        <v>247882</v>
      </c>
      <c r="J15" s="542">
        <f t="shared" si="4"/>
        <v>49312</v>
      </c>
      <c r="K15" s="542">
        <f t="shared" si="5"/>
        <v>49576</v>
      </c>
      <c r="L15" s="555" t="s">
        <v>403</v>
      </c>
      <c r="M15" s="543">
        <f t="shared" si="0"/>
        <v>295870</v>
      </c>
      <c r="N15" s="542">
        <f t="shared" si="1"/>
        <v>297458</v>
      </c>
      <c r="O15" s="535"/>
    </row>
    <row r="16" spans="1:15" ht="31.5">
      <c r="A16" s="533" t="s">
        <v>41</v>
      </c>
      <c r="B16" s="541" t="s">
        <v>102</v>
      </c>
      <c r="C16" s="542">
        <f>Tong_hop!C16</f>
        <v>7719625</v>
      </c>
      <c r="D16" s="542">
        <f>Tong_hop!D16</f>
        <v>109466</v>
      </c>
      <c r="E16" s="542">
        <f>Tong_hop!E16</f>
        <v>50101</v>
      </c>
      <c r="F16" s="542">
        <f>Tong_hop!F16</f>
        <v>609822</v>
      </c>
      <c r="G16" s="542">
        <f>Tong_hop!G16</f>
        <v>1017230</v>
      </c>
      <c r="H16" s="542">
        <f t="shared" si="2"/>
        <v>9456143</v>
      </c>
      <c r="I16" s="542">
        <f t="shared" si="3"/>
        <v>9506244</v>
      </c>
      <c r="J16" s="542">
        <f t="shared" si="4"/>
        <v>1891229</v>
      </c>
      <c r="K16" s="542">
        <f t="shared" si="5"/>
        <v>1901249</v>
      </c>
      <c r="L16" s="555" t="s">
        <v>403</v>
      </c>
      <c r="M16" s="543">
        <f t="shared" si="0"/>
        <v>11347372</v>
      </c>
      <c r="N16" s="542">
        <f t="shared" si="1"/>
        <v>11407493</v>
      </c>
      <c r="O16" s="535"/>
    </row>
    <row r="17" spans="1:17" ht="31.5">
      <c r="A17" s="533" t="s">
        <v>282</v>
      </c>
      <c r="B17" s="541" t="s">
        <v>103</v>
      </c>
      <c r="C17" s="542">
        <f>Tong_hop!C17</f>
        <v>851921</v>
      </c>
      <c r="D17" s="542">
        <f>Tong_hop!D17</f>
        <v>12056</v>
      </c>
      <c r="E17" s="542">
        <f>Tong_hop!E17</f>
        <v>5518</v>
      </c>
      <c r="F17" s="542">
        <f>Tong_hop!F17</f>
        <v>66699</v>
      </c>
      <c r="G17" s="542">
        <f>Tong_hop!G17</f>
        <v>112030</v>
      </c>
      <c r="H17" s="542">
        <f t="shared" si="2"/>
        <v>1042706</v>
      </c>
      <c r="I17" s="542">
        <f t="shared" si="3"/>
        <v>1048224</v>
      </c>
      <c r="J17" s="542">
        <f t="shared" si="4"/>
        <v>208541</v>
      </c>
      <c r="K17" s="542">
        <f t="shared" si="5"/>
        <v>209645</v>
      </c>
      <c r="L17" s="555" t="s">
        <v>403</v>
      </c>
      <c r="M17" s="543">
        <f t="shared" si="0"/>
        <v>1251247</v>
      </c>
      <c r="N17" s="542">
        <f t="shared" si="1"/>
        <v>1257869</v>
      </c>
      <c r="O17" s="535"/>
    </row>
    <row r="18" spans="1:17" ht="31.5">
      <c r="A18" s="533" t="s">
        <v>283</v>
      </c>
      <c r="B18" s="541" t="s">
        <v>104</v>
      </c>
      <c r="C18" s="542">
        <f>Tong_hop!C18</f>
        <v>2564486</v>
      </c>
      <c r="D18" s="542">
        <f>Tong_hop!D18</f>
        <v>36649</v>
      </c>
      <c r="E18" s="542">
        <f>Tong_hop!E18</f>
        <v>16774</v>
      </c>
      <c r="F18" s="542">
        <f>Tong_hop!F18</f>
        <v>204862</v>
      </c>
      <c r="G18" s="542">
        <f>Tong_hop!G18</f>
        <v>340570</v>
      </c>
      <c r="H18" s="542">
        <f t="shared" si="2"/>
        <v>3146567</v>
      </c>
      <c r="I18" s="542">
        <f t="shared" si="3"/>
        <v>3163341</v>
      </c>
      <c r="J18" s="542">
        <f t="shared" si="4"/>
        <v>629313</v>
      </c>
      <c r="K18" s="542">
        <f t="shared" si="5"/>
        <v>632668</v>
      </c>
      <c r="L18" s="555" t="s">
        <v>403</v>
      </c>
      <c r="M18" s="543">
        <f t="shared" si="0"/>
        <v>3775880</v>
      </c>
      <c r="N18" s="542">
        <f t="shared" si="1"/>
        <v>3796009</v>
      </c>
      <c r="O18" s="535"/>
    </row>
    <row r="19" spans="1:17" ht="31.5">
      <c r="A19" s="533" t="s">
        <v>299</v>
      </c>
      <c r="B19" s="541" t="s">
        <v>105</v>
      </c>
      <c r="C19" s="542">
        <f>Tong_hop!C19</f>
        <v>3262305</v>
      </c>
      <c r="D19" s="542">
        <f>Tong_hop!D19</f>
        <v>46294</v>
      </c>
      <c r="E19" s="542">
        <f>Tong_hop!E19</f>
        <v>21188</v>
      </c>
      <c r="F19" s="542">
        <f>Tong_hop!F19</f>
        <v>257269</v>
      </c>
      <c r="G19" s="542">
        <f>Tong_hop!G19</f>
        <v>430194</v>
      </c>
      <c r="H19" s="542">
        <f t="shared" si="2"/>
        <v>3996062</v>
      </c>
      <c r="I19" s="542">
        <f t="shared" si="3"/>
        <v>4017250</v>
      </c>
      <c r="J19" s="542">
        <f t="shared" si="4"/>
        <v>799212</v>
      </c>
      <c r="K19" s="542">
        <f t="shared" si="5"/>
        <v>803450</v>
      </c>
      <c r="L19" s="555" t="s">
        <v>403</v>
      </c>
      <c r="M19" s="543">
        <f t="shared" si="0"/>
        <v>4795274</v>
      </c>
      <c r="N19" s="542">
        <f t="shared" si="1"/>
        <v>4820700</v>
      </c>
      <c r="O19" s="535"/>
    </row>
    <row r="20" spans="1:17" ht="31.5">
      <c r="A20" s="533" t="s">
        <v>300</v>
      </c>
      <c r="B20" s="541" t="s">
        <v>106</v>
      </c>
      <c r="C20" s="542">
        <f>Tong_hop!C20</f>
        <v>520457</v>
      </c>
      <c r="D20" s="542">
        <f>Tong_hop!D20</f>
        <v>7233</v>
      </c>
      <c r="E20" s="542">
        <f>Tong_hop!E20</f>
        <v>3311</v>
      </c>
      <c r="F20" s="542">
        <f>Tong_hop!F20</f>
        <v>40496</v>
      </c>
      <c r="G20" s="542">
        <f>Tong_hop!G20</f>
        <v>67218</v>
      </c>
      <c r="H20" s="542">
        <f t="shared" si="2"/>
        <v>635404</v>
      </c>
      <c r="I20" s="542">
        <f t="shared" si="3"/>
        <v>638715</v>
      </c>
      <c r="J20" s="542">
        <f t="shared" si="4"/>
        <v>127081</v>
      </c>
      <c r="K20" s="542">
        <f t="shared" si="5"/>
        <v>127743</v>
      </c>
      <c r="L20" s="555" t="s">
        <v>403</v>
      </c>
      <c r="M20" s="543">
        <f t="shared" si="0"/>
        <v>762485</v>
      </c>
      <c r="N20" s="542">
        <f t="shared" si="1"/>
        <v>766458</v>
      </c>
      <c r="O20" s="535"/>
    </row>
    <row r="21" spans="1:17" ht="31.5">
      <c r="A21" s="533" t="s">
        <v>301</v>
      </c>
      <c r="B21" s="541" t="s">
        <v>107</v>
      </c>
      <c r="C21" s="542">
        <f>Tong_hop!C21</f>
        <v>520457</v>
      </c>
      <c r="D21" s="542">
        <f>Tong_hop!D21</f>
        <v>7233</v>
      </c>
      <c r="E21" s="542">
        <f>Tong_hop!E21</f>
        <v>3311</v>
      </c>
      <c r="F21" s="542">
        <f>Tong_hop!F21</f>
        <v>40496</v>
      </c>
      <c r="G21" s="542">
        <f>Tong_hop!G21</f>
        <v>67218</v>
      </c>
      <c r="H21" s="542">
        <f t="shared" si="2"/>
        <v>635404</v>
      </c>
      <c r="I21" s="542">
        <f t="shared" si="3"/>
        <v>638715</v>
      </c>
      <c r="J21" s="542">
        <f t="shared" si="4"/>
        <v>127081</v>
      </c>
      <c r="K21" s="542">
        <f t="shared" si="5"/>
        <v>127743</v>
      </c>
      <c r="L21" s="555" t="s">
        <v>403</v>
      </c>
      <c r="M21" s="543">
        <f t="shared" si="0"/>
        <v>762485</v>
      </c>
      <c r="N21" s="542">
        <f t="shared" si="1"/>
        <v>766458</v>
      </c>
      <c r="O21" s="535"/>
    </row>
    <row r="22" spans="1:17" ht="31.5">
      <c r="A22" s="533" t="s">
        <v>162</v>
      </c>
      <c r="B22" s="541" t="s">
        <v>108</v>
      </c>
      <c r="C22" s="542">
        <f>Tong_hop!C22</f>
        <v>9961371</v>
      </c>
      <c r="D22" s="542">
        <f>Tong_hop!D22</f>
        <v>141293</v>
      </c>
      <c r="E22" s="542">
        <f>Tong_hop!E22</f>
        <v>234511</v>
      </c>
      <c r="F22" s="542">
        <f>Tong_hop!F22</f>
        <v>786099</v>
      </c>
      <c r="G22" s="542">
        <f>Tong_hop!G22</f>
        <v>1312989</v>
      </c>
      <c r="H22" s="542">
        <f t="shared" si="2"/>
        <v>12201752</v>
      </c>
      <c r="I22" s="542">
        <f t="shared" si="3"/>
        <v>12436263</v>
      </c>
      <c r="J22" s="542">
        <f t="shared" si="4"/>
        <v>2440350</v>
      </c>
      <c r="K22" s="542">
        <f t="shared" si="5"/>
        <v>2487253</v>
      </c>
      <c r="L22" s="555" t="s">
        <v>403</v>
      </c>
      <c r="M22" s="543">
        <f t="shared" si="0"/>
        <v>14642102</v>
      </c>
      <c r="N22" s="542">
        <f t="shared" si="1"/>
        <v>14923516</v>
      </c>
      <c r="O22" s="535"/>
    </row>
    <row r="23" spans="1:17" ht="31.5">
      <c r="A23" s="533" t="s">
        <v>302</v>
      </c>
      <c r="B23" s="541" t="s">
        <v>103</v>
      </c>
      <c r="C23" s="542">
        <f>Tong_hop!C23</f>
        <v>1352025</v>
      </c>
      <c r="D23" s="542">
        <f>Tong_hop!D23</f>
        <v>19289</v>
      </c>
      <c r="E23" s="542">
        <f>Tong_hop!E23</f>
        <v>31979</v>
      </c>
      <c r="F23" s="542">
        <f>Tong_hop!F23</f>
        <v>59238</v>
      </c>
      <c r="G23" s="542">
        <f>Tong_hop!G23</f>
        <v>179248</v>
      </c>
      <c r="H23" s="542">
        <f t="shared" si="2"/>
        <v>1609800</v>
      </c>
      <c r="I23" s="542">
        <f t="shared" si="3"/>
        <v>1641779</v>
      </c>
      <c r="J23" s="542">
        <f t="shared" si="4"/>
        <v>321960</v>
      </c>
      <c r="K23" s="542">
        <f t="shared" si="5"/>
        <v>328356</v>
      </c>
      <c r="L23" s="555" t="s">
        <v>403</v>
      </c>
      <c r="M23" s="543">
        <f t="shared" si="0"/>
        <v>1931760</v>
      </c>
      <c r="N23" s="542">
        <f t="shared" si="1"/>
        <v>1970135</v>
      </c>
      <c r="O23" s="535"/>
    </row>
    <row r="24" spans="1:17" ht="31.5">
      <c r="A24" s="533" t="s">
        <v>303</v>
      </c>
      <c r="B24" s="541" t="s">
        <v>104</v>
      </c>
      <c r="C24" s="542">
        <f>Tong_hop!C24</f>
        <v>3082035</v>
      </c>
      <c r="D24" s="542">
        <f>Tong_hop!D24</f>
        <v>43883</v>
      </c>
      <c r="E24" s="542">
        <f>Tong_hop!E24</f>
        <v>72485</v>
      </c>
      <c r="F24" s="542">
        <f>Tong_hop!F24</f>
        <v>242976</v>
      </c>
      <c r="G24" s="542">
        <f>Tong_hop!G24</f>
        <v>407788</v>
      </c>
      <c r="H24" s="542">
        <f t="shared" si="2"/>
        <v>3776682</v>
      </c>
      <c r="I24" s="542">
        <f t="shared" si="3"/>
        <v>3849167</v>
      </c>
      <c r="J24" s="542">
        <f t="shared" si="4"/>
        <v>755336</v>
      </c>
      <c r="K24" s="542">
        <f t="shared" si="5"/>
        <v>769833</v>
      </c>
      <c r="L24" s="555" t="s">
        <v>403</v>
      </c>
      <c r="M24" s="543">
        <f t="shared" si="0"/>
        <v>4532018</v>
      </c>
      <c r="N24" s="542">
        <f t="shared" si="1"/>
        <v>4619000</v>
      </c>
      <c r="O24" s="535"/>
    </row>
    <row r="25" spans="1:17" ht="31.5">
      <c r="A25" s="533" t="s">
        <v>304</v>
      </c>
      <c r="B25" s="541" t="s">
        <v>105</v>
      </c>
      <c r="C25" s="542">
        <f>Tong_hop!C25</f>
        <v>3794393</v>
      </c>
      <c r="D25" s="542">
        <f>Tong_hop!D25</f>
        <v>54010</v>
      </c>
      <c r="E25" s="542">
        <f>Tong_hop!E25</f>
        <v>89540</v>
      </c>
      <c r="F25" s="542">
        <f>Tong_hop!F25</f>
        <v>300147</v>
      </c>
      <c r="G25" s="542">
        <f>Tong_hop!G25</f>
        <v>501893</v>
      </c>
      <c r="H25" s="542">
        <f t="shared" si="2"/>
        <v>4650443</v>
      </c>
      <c r="I25" s="542">
        <f t="shared" si="3"/>
        <v>4739983</v>
      </c>
      <c r="J25" s="542">
        <f t="shared" si="4"/>
        <v>930089</v>
      </c>
      <c r="K25" s="542">
        <f t="shared" si="5"/>
        <v>947997</v>
      </c>
      <c r="L25" s="555" t="s">
        <v>403</v>
      </c>
      <c r="M25" s="543">
        <f t="shared" si="0"/>
        <v>5580532</v>
      </c>
      <c r="N25" s="542">
        <f t="shared" si="1"/>
        <v>5687980</v>
      </c>
      <c r="O25" s="535"/>
    </row>
    <row r="26" spans="1:17" ht="31.5">
      <c r="A26" s="533" t="s">
        <v>304</v>
      </c>
      <c r="B26" s="541" t="s">
        <v>106</v>
      </c>
      <c r="C26" s="542">
        <f>Tong_hop!C26</f>
        <v>866459</v>
      </c>
      <c r="D26" s="542">
        <f>Tong_hop!D26</f>
        <v>12056</v>
      </c>
      <c r="E26" s="542">
        <f>Tong_hop!E26</f>
        <v>20609</v>
      </c>
      <c r="F26" s="542">
        <f>Tong_hop!F26</f>
        <v>69082</v>
      </c>
      <c r="G26" s="542">
        <f>Tong_hop!G26</f>
        <v>112030</v>
      </c>
      <c r="H26" s="542">
        <f t="shared" si="2"/>
        <v>1059627</v>
      </c>
      <c r="I26" s="542">
        <f t="shared" si="3"/>
        <v>1080236</v>
      </c>
      <c r="J26" s="542">
        <f t="shared" si="4"/>
        <v>211925</v>
      </c>
      <c r="K26" s="542">
        <f t="shared" si="5"/>
        <v>216047</v>
      </c>
      <c r="L26" s="555" t="s">
        <v>403</v>
      </c>
      <c r="M26" s="543">
        <f t="shared" si="0"/>
        <v>1271552</v>
      </c>
      <c r="N26" s="542">
        <f t="shared" si="1"/>
        <v>1296283</v>
      </c>
      <c r="O26" s="535"/>
    </row>
    <row r="27" spans="1:17" ht="31.5">
      <c r="A27" s="544" t="s">
        <v>305</v>
      </c>
      <c r="B27" s="541" t="s">
        <v>107</v>
      </c>
      <c r="C27" s="542">
        <f>Tong_hop!C27</f>
        <v>866459</v>
      </c>
      <c r="D27" s="542">
        <f>Tong_hop!D27</f>
        <v>12056</v>
      </c>
      <c r="E27" s="542">
        <f>Tong_hop!E27</f>
        <v>19898</v>
      </c>
      <c r="F27" s="542">
        <f>Tong_hop!F27</f>
        <v>66699</v>
      </c>
      <c r="G27" s="542">
        <f>Tong_hop!G27</f>
        <v>112030</v>
      </c>
      <c r="H27" s="542">
        <f t="shared" si="2"/>
        <v>1057244</v>
      </c>
      <c r="I27" s="542">
        <f t="shared" si="3"/>
        <v>1077142</v>
      </c>
      <c r="J27" s="542">
        <f t="shared" si="4"/>
        <v>211449</v>
      </c>
      <c r="K27" s="542">
        <f t="shared" si="5"/>
        <v>215428</v>
      </c>
      <c r="L27" s="555" t="s">
        <v>403</v>
      </c>
      <c r="M27" s="543">
        <f t="shared" si="0"/>
        <v>1268693</v>
      </c>
      <c r="N27" s="542">
        <f t="shared" si="1"/>
        <v>1292570</v>
      </c>
      <c r="O27" s="535"/>
    </row>
    <row r="28" spans="1:17" ht="15.75">
      <c r="A28" s="536">
        <v>4</v>
      </c>
      <c r="B28" s="540" t="s">
        <v>109</v>
      </c>
      <c r="C28" s="538">
        <f>Tong_hop!C28</f>
        <v>128307733</v>
      </c>
      <c r="D28" s="538">
        <f>Tong_hop!D28</f>
        <v>1785962</v>
      </c>
      <c r="E28" s="538">
        <f>Tong_hop!E28</f>
        <v>1828833</v>
      </c>
      <c r="F28" s="538">
        <f>Tong_hop!F28</f>
        <v>8081372</v>
      </c>
      <c r="G28" s="538">
        <f>Tong_hop!G28</f>
        <v>5787214</v>
      </c>
      <c r="H28" s="538">
        <f t="shared" si="2"/>
        <v>143962281</v>
      </c>
      <c r="I28" s="538">
        <f t="shared" si="3"/>
        <v>145791114</v>
      </c>
      <c r="J28" s="538">
        <f t="shared" si="4"/>
        <v>28792456</v>
      </c>
      <c r="K28" s="538">
        <f t="shared" si="5"/>
        <v>29158223</v>
      </c>
      <c r="L28" s="556" t="s">
        <v>405</v>
      </c>
      <c r="M28" s="539">
        <f t="shared" si="0"/>
        <v>172754737</v>
      </c>
      <c r="N28" s="538">
        <f t="shared" si="1"/>
        <v>174949337</v>
      </c>
      <c r="O28" s="535"/>
    </row>
    <row r="29" spans="1:17" ht="15.75">
      <c r="A29" s="533" t="s">
        <v>42</v>
      </c>
      <c r="B29" s="541" t="s">
        <v>110</v>
      </c>
      <c r="C29" s="542">
        <f>Tong_hop!C29</f>
        <v>115728543</v>
      </c>
      <c r="D29" s="542">
        <f>Tong_hop!D29</f>
        <v>1610868</v>
      </c>
      <c r="E29" s="542">
        <f>Tong_hop!E29</f>
        <v>1649535</v>
      </c>
      <c r="F29" s="542">
        <f>Tong_hop!F29</f>
        <v>7289080</v>
      </c>
      <c r="G29" s="542">
        <f>Tong_hop!G29</f>
        <v>5219840</v>
      </c>
      <c r="H29" s="542">
        <f t="shared" si="2"/>
        <v>129848331</v>
      </c>
      <c r="I29" s="542">
        <f t="shared" si="3"/>
        <v>131497866</v>
      </c>
      <c r="J29" s="542">
        <f t="shared" si="4"/>
        <v>25969666</v>
      </c>
      <c r="K29" s="542">
        <f t="shared" si="5"/>
        <v>26299573</v>
      </c>
      <c r="L29" s="555" t="s">
        <v>405</v>
      </c>
      <c r="M29" s="543">
        <f t="shared" si="0"/>
        <v>155817997</v>
      </c>
      <c r="N29" s="542">
        <f t="shared" si="1"/>
        <v>157797439</v>
      </c>
      <c r="O29" s="535"/>
    </row>
    <row r="30" spans="1:17" ht="57.75" customHeight="1">
      <c r="A30" s="533" t="s">
        <v>129</v>
      </c>
      <c r="B30" s="541" t="s">
        <v>369</v>
      </c>
      <c r="C30" s="542"/>
      <c r="D30" s="542"/>
      <c r="E30" s="542"/>
      <c r="F30" s="542"/>
      <c r="G30" s="542"/>
      <c r="H30" s="542"/>
      <c r="I30" s="542"/>
      <c r="J30" s="542"/>
      <c r="K30" s="542"/>
      <c r="L30" s="555" t="s">
        <v>406</v>
      </c>
      <c r="M30" s="543">
        <f>M39</f>
        <v>1178519</v>
      </c>
      <c r="N30" s="542">
        <f>N39</f>
        <v>1194167</v>
      </c>
      <c r="O30" s="545" t="s">
        <v>390</v>
      </c>
      <c r="P30" s="546"/>
      <c r="Q30" s="546"/>
    </row>
    <row r="31" spans="1:17" ht="60">
      <c r="A31" s="533" t="s">
        <v>396</v>
      </c>
      <c r="B31" s="541" t="s">
        <v>370</v>
      </c>
      <c r="C31" s="542"/>
      <c r="D31" s="542"/>
      <c r="E31" s="542"/>
      <c r="F31" s="542"/>
      <c r="G31" s="542"/>
      <c r="H31" s="542"/>
      <c r="I31" s="542"/>
      <c r="J31" s="542"/>
      <c r="K31" s="542"/>
      <c r="L31" s="555" t="s">
        <v>406</v>
      </c>
      <c r="M31" s="543">
        <f>M30</f>
        <v>1178519</v>
      </c>
      <c r="N31" s="542">
        <f>N30</f>
        <v>1194167</v>
      </c>
      <c r="O31" s="545" t="s">
        <v>390</v>
      </c>
      <c r="P31" s="546"/>
      <c r="Q31" s="546"/>
    </row>
    <row r="32" spans="1:17" ht="60">
      <c r="A32" s="533" t="s">
        <v>398</v>
      </c>
      <c r="B32" s="541" t="s">
        <v>372</v>
      </c>
      <c r="C32" s="542"/>
      <c r="D32" s="542"/>
      <c r="E32" s="542"/>
      <c r="F32" s="542"/>
      <c r="G32" s="542"/>
      <c r="H32" s="542"/>
      <c r="I32" s="542"/>
      <c r="J32" s="542"/>
      <c r="K32" s="542"/>
      <c r="L32" s="555" t="s">
        <v>406</v>
      </c>
      <c r="M32" s="543">
        <f>M30</f>
        <v>1178519</v>
      </c>
      <c r="N32" s="542">
        <f>N30</f>
        <v>1194167</v>
      </c>
      <c r="O32" s="545" t="s">
        <v>390</v>
      </c>
    </row>
    <row r="33" spans="1:20" ht="60">
      <c r="A33" s="533" t="s">
        <v>398</v>
      </c>
      <c r="B33" s="541" t="s">
        <v>373</v>
      </c>
      <c r="C33" s="542"/>
      <c r="D33" s="542"/>
      <c r="E33" s="542"/>
      <c r="F33" s="542"/>
      <c r="G33" s="542"/>
      <c r="H33" s="542"/>
      <c r="I33" s="542"/>
      <c r="J33" s="542"/>
      <c r="K33" s="542"/>
      <c r="L33" s="555" t="s">
        <v>406</v>
      </c>
      <c r="M33" s="543">
        <f>M30</f>
        <v>1178519</v>
      </c>
      <c r="N33" s="542">
        <f>N30</f>
        <v>1194167</v>
      </c>
      <c r="O33" s="545" t="s">
        <v>390</v>
      </c>
    </row>
    <row r="34" spans="1:20" ht="60">
      <c r="A34" s="533" t="s">
        <v>398</v>
      </c>
      <c r="B34" s="541" t="s">
        <v>374</v>
      </c>
      <c r="C34" s="542"/>
      <c r="D34" s="542"/>
      <c r="E34" s="542"/>
      <c r="F34" s="542"/>
      <c r="G34" s="542"/>
      <c r="H34" s="542"/>
      <c r="I34" s="542"/>
      <c r="J34" s="542"/>
      <c r="K34" s="542"/>
      <c r="L34" s="555" t="s">
        <v>406</v>
      </c>
      <c r="M34" s="543">
        <f>M30</f>
        <v>1178519</v>
      </c>
      <c r="N34" s="542">
        <f>N30</f>
        <v>1194167</v>
      </c>
      <c r="O34" s="545" t="s">
        <v>390</v>
      </c>
    </row>
    <row r="35" spans="1:20" ht="60">
      <c r="A35" s="533" t="s">
        <v>398</v>
      </c>
      <c r="B35" s="541" t="s">
        <v>375</v>
      </c>
      <c r="C35" s="542"/>
      <c r="D35" s="542"/>
      <c r="E35" s="542"/>
      <c r="F35" s="542"/>
      <c r="G35" s="542"/>
      <c r="H35" s="542"/>
      <c r="I35" s="542"/>
      <c r="J35" s="542"/>
      <c r="K35" s="542"/>
      <c r="L35" s="555" t="s">
        <v>406</v>
      </c>
      <c r="M35" s="543">
        <f>M30</f>
        <v>1178519</v>
      </c>
      <c r="N35" s="542">
        <f>N30</f>
        <v>1194167</v>
      </c>
      <c r="O35" s="545" t="s">
        <v>390</v>
      </c>
    </row>
    <row r="36" spans="1:20" ht="54.75" customHeight="1">
      <c r="A36" s="533" t="s">
        <v>398</v>
      </c>
      <c r="B36" s="541" t="s">
        <v>376</v>
      </c>
      <c r="C36" s="542"/>
      <c r="D36" s="542"/>
      <c r="E36" s="542"/>
      <c r="F36" s="542"/>
      <c r="G36" s="542"/>
      <c r="H36" s="542"/>
      <c r="I36" s="542"/>
      <c r="J36" s="542"/>
      <c r="K36" s="542"/>
      <c r="L36" s="555" t="s">
        <v>406</v>
      </c>
      <c r="M36" s="543">
        <f>M30</f>
        <v>1178519</v>
      </c>
      <c r="N36" s="542">
        <f>N30</f>
        <v>1194167</v>
      </c>
      <c r="O36" s="545" t="s">
        <v>390</v>
      </c>
    </row>
    <row r="37" spans="1:20" ht="55.5" customHeight="1">
      <c r="A37" s="533" t="s">
        <v>396</v>
      </c>
      <c r="B37" s="541" t="s">
        <v>371</v>
      </c>
      <c r="C37" s="542"/>
      <c r="D37" s="542"/>
      <c r="E37" s="542"/>
      <c r="F37" s="542"/>
      <c r="G37" s="542"/>
      <c r="H37" s="542"/>
      <c r="I37" s="542"/>
      <c r="J37" s="542"/>
      <c r="K37" s="542"/>
      <c r="L37" s="555" t="s">
        <v>406</v>
      </c>
      <c r="M37" s="543">
        <f>M38</f>
        <v>17033346</v>
      </c>
      <c r="N37" s="542">
        <f>N38</f>
        <v>17248502</v>
      </c>
      <c r="O37" s="545" t="s">
        <v>391</v>
      </c>
      <c r="P37" s="546"/>
      <c r="Q37" s="546"/>
      <c r="S37" s="546"/>
      <c r="T37" s="546"/>
    </row>
    <row r="38" spans="1:20" ht="31.5">
      <c r="A38" s="533" t="s">
        <v>306</v>
      </c>
      <c r="B38" s="541" t="s">
        <v>307</v>
      </c>
      <c r="C38" s="542">
        <f>Tong_hop!C30</f>
        <v>12659696</v>
      </c>
      <c r="D38" s="542">
        <f>Tong_hop!D30</f>
        <v>175094</v>
      </c>
      <c r="E38" s="542">
        <f>Tong_hop!E30</f>
        <v>179297</v>
      </c>
      <c r="F38" s="542">
        <f>Tong_hop!F30</f>
        <v>792291</v>
      </c>
      <c r="G38" s="542">
        <f>Tong_hop!G30</f>
        <v>567374</v>
      </c>
      <c r="H38" s="542">
        <f t="shared" si="2"/>
        <v>14194455</v>
      </c>
      <c r="I38" s="542">
        <f t="shared" si="3"/>
        <v>14373752</v>
      </c>
      <c r="J38" s="542">
        <f t="shared" si="4"/>
        <v>2838891</v>
      </c>
      <c r="K38" s="542">
        <f t="shared" si="5"/>
        <v>2874750</v>
      </c>
      <c r="L38" s="558" t="s">
        <v>406</v>
      </c>
      <c r="M38" s="543">
        <f t="shared" ref="M38:M49" si="6">ROUND((H38+J38),0)</f>
        <v>17033346</v>
      </c>
      <c r="N38" s="542">
        <f t="shared" ref="N38:N49" si="7">ROUND((I38+K38),0)</f>
        <v>17248502</v>
      </c>
      <c r="O38" s="535"/>
    </row>
    <row r="39" spans="1:20" ht="15.75">
      <c r="A39" s="533" t="s">
        <v>129</v>
      </c>
      <c r="B39" s="541" t="s">
        <v>308</v>
      </c>
      <c r="C39" s="542">
        <f>Tong_hop!C31</f>
        <v>870480</v>
      </c>
      <c r="D39" s="542">
        <f>Tong_hop!D31</f>
        <v>12734</v>
      </c>
      <c r="E39" s="542">
        <f>Tong_hop!E31</f>
        <v>13040</v>
      </c>
      <c r="F39" s="542">
        <f>Tong_hop!F31</f>
        <v>57621</v>
      </c>
      <c r="G39" s="542">
        <f>Tong_hop!G31</f>
        <v>41264</v>
      </c>
      <c r="H39" s="542">
        <f t="shared" si="2"/>
        <v>982099</v>
      </c>
      <c r="I39" s="542">
        <f t="shared" si="3"/>
        <v>995139</v>
      </c>
      <c r="J39" s="542">
        <f t="shared" si="4"/>
        <v>196420</v>
      </c>
      <c r="K39" s="542">
        <f t="shared" si="5"/>
        <v>199028</v>
      </c>
      <c r="L39" s="558" t="s">
        <v>406</v>
      </c>
      <c r="M39" s="543">
        <f t="shared" si="6"/>
        <v>1178519</v>
      </c>
      <c r="N39" s="542">
        <f t="shared" si="7"/>
        <v>1194167</v>
      </c>
      <c r="O39" s="535"/>
    </row>
    <row r="40" spans="1:20" ht="15.75">
      <c r="A40" s="533" t="s">
        <v>130</v>
      </c>
      <c r="B40" s="541" t="s">
        <v>309</v>
      </c>
      <c r="C40" s="542">
        <f>Tong_hop!C32</f>
        <v>11789216</v>
      </c>
      <c r="D40" s="542">
        <f>Tong_hop!D32</f>
        <v>162360</v>
      </c>
      <c r="E40" s="542">
        <f>Tong_hop!E32</f>
        <v>166258</v>
      </c>
      <c r="F40" s="542">
        <f>Tong_hop!F32</f>
        <v>734670</v>
      </c>
      <c r="G40" s="542">
        <f>Tong_hop!G32</f>
        <v>526110</v>
      </c>
      <c r="H40" s="542">
        <f t="shared" si="2"/>
        <v>13212356</v>
      </c>
      <c r="I40" s="542">
        <f t="shared" si="3"/>
        <v>13378614</v>
      </c>
      <c r="J40" s="542">
        <f t="shared" si="4"/>
        <v>2642471</v>
      </c>
      <c r="K40" s="542">
        <f t="shared" si="5"/>
        <v>2675723</v>
      </c>
      <c r="L40" s="558" t="s">
        <v>406</v>
      </c>
      <c r="M40" s="543">
        <f t="shared" si="6"/>
        <v>15854827</v>
      </c>
      <c r="N40" s="542">
        <f t="shared" si="7"/>
        <v>16054337</v>
      </c>
      <c r="O40" s="535"/>
    </row>
    <row r="41" spans="1:20" ht="15.75">
      <c r="A41" s="533" t="s">
        <v>310</v>
      </c>
      <c r="B41" s="541" t="s">
        <v>311</v>
      </c>
      <c r="C41" s="542">
        <f>Tong_hop!C33</f>
        <v>26230126</v>
      </c>
      <c r="D41" s="542">
        <f>Tong_hop!D33</f>
        <v>369290</v>
      </c>
      <c r="E41" s="542">
        <f>Tong_hop!E33</f>
        <v>378154</v>
      </c>
      <c r="F41" s="542">
        <f>Tong_hop!F33</f>
        <v>1671014</v>
      </c>
      <c r="G41" s="542">
        <f>Tong_hop!G33</f>
        <v>1196643</v>
      </c>
      <c r="H41" s="542">
        <f t="shared" si="2"/>
        <v>29467073</v>
      </c>
      <c r="I41" s="542">
        <f t="shared" si="3"/>
        <v>29845227</v>
      </c>
      <c r="J41" s="542">
        <f t="shared" si="4"/>
        <v>5893415</v>
      </c>
      <c r="K41" s="542">
        <f t="shared" si="5"/>
        <v>5969045</v>
      </c>
      <c r="L41" s="558" t="s">
        <v>406</v>
      </c>
      <c r="M41" s="543">
        <f t="shared" si="6"/>
        <v>35360488</v>
      </c>
      <c r="N41" s="542">
        <f t="shared" si="7"/>
        <v>35814272</v>
      </c>
      <c r="O41" s="547"/>
      <c r="P41" s="546"/>
      <c r="Q41" s="546"/>
      <c r="R41" s="546"/>
      <c r="S41" s="546"/>
      <c r="T41" s="546"/>
    </row>
    <row r="42" spans="1:20" ht="15.75">
      <c r="A42" s="533" t="s">
        <v>129</v>
      </c>
      <c r="B42" s="541" t="s">
        <v>312</v>
      </c>
      <c r="C42" s="542">
        <f>Tong_hop!C34</f>
        <v>3663060</v>
      </c>
      <c r="D42" s="542">
        <f>Tong_hop!D34</f>
        <v>50937</v>
      </c>
      <c r="E42" s="542">
        <f>Tong_hop!E34</f>
        <v>52159</v>
      </c>
      <c r="F42" s="542">
        <f>Tong_hop!F34</f>
        <v>230485</v>
      </c>
      <c r="G42" s="542">
        <f>Tong_hop!G34</f>
        <v>165054</v>
      </c>
      <c r="H42" s="542">
        <f t="shared" si="2"/>
        <v>4109536</v>
      </c>
      <c r="I42" s="542">
        <f t="shared" si="3"/>
        <v>4161695</v>
      </c>
      <c r="J42" s="542">
        <f t="shared" si="4"/>
        <v>821907</v>
      </c>
      <c r="K42" s="542">
        <f t="shared" si="5"/>
        <v>832339</v>
      </c>
      <c r="L42" s="558" t="s">
        <v>406</v>
      </c>
      <c r="M42" s="543">
        <f t="shared" si="6"/>
        <v>4931443</v>
      </c>
      <c r="N42" s="542">
        <f t="shared" si="7"/>
        <v>4994034</v>
      </c>
      <c r="O42" s="535"/>
    </row>
    <row r="43" spans="1:20" ht="31.5">
      <c r="A43" s="533" t="s">
        <v>130</v>
      </c>
      <c r="B43" s="541" t="s">
        <v>313</v>
      </c>
      <c r="C43" s="542">
        <f>Tong_hop!C35</f>
        <v>3964961</v>
      </c>
      <c r="D43" s="542">
        <f>Tong_hop!D35</f>
        <v>54120</v>
      </c>
      <c r="E43" s="542">
        <f>Tong_hop!E35</f>
        <v>55419</v>
      </c>
      <c r="F43" s="542">
        <f>Tong_hop!F35</f>
        <v>244890</v>
      </c>
      <c r="G43" s="542">
        <f>Tong_hop!G35</f>
        <v>175370</v>
      </c>
      <c r="H43" s="542">
        <f t="shared" si="2"/>
        <v>4439341</v>
      </c>
      <c r="I43" s="542">
        <f t="shared" si="3"/>
        <v>4494760</v>
      </c>
      <c r="J43" s="542">
        <f t="shared" si="4"/>
        <v>887868</v>
      </c>
      <c r="K43" s="542">
        <f t="shared" si="5"/>
        <v>898952</v>
      </c>
      <c r="L43" s="558" t="s">
        <v>406</v>
      </c>
      <c r="M43" s="543">
        <f t="shared" si="6"/>
        <v>5327209</v>
      </c>
      <c r="N43" s="542">
        <f t="shared" si="7"/>
        <v>5393712</v>
      </c>
      <c r="O43" s="547"/>
    </row>
    <row r="44" spans="1:20" ht="15.75">
      <c r="A44" s="533" t="s">
        <v>131</v>
      </c>
      <c r="B44" s="541" t="s">
        <v>314</v>
      </c>
      <c r="C44" s="542">
        <f>Tong_hop!C36</f>
        <v>9696039</v>
      </c>
      <c r="D44" s="542">
        <f>Tong_hop!D36</f>
        <v>133708</v>
      </c>
      <c r="E44" s="542">
        <f>Tong_hop!E36</f>
        <v>136918</v>
      </c>
      <c r="F44" s="542">
        <f>Tong_hop!F36</f>
        <v>605022</v>
      </c>
      <c r="G44" s="542">
        <f>Tong_hop!G36</f>
        <v>433267</v>
      </c>
      <c r="H44" s="542">
        <f t="shared" si="2"/>
        <v>10868036</v>
      </c>
      <c r="I44" s="542">
        <f t="shared" si="3"/>
        <v>11004954</v>
      </c>
      <c r="J44" s="542">
        <f t="shared" si="4"/>
        <v>2173607</v>
      </c>
      <c r="K44" s="542">
        <f t="shared" si="5"/>
        <v>2200991</v>
      </c>
      <c r="L44" s="558" t="s">
        <v>406</v>
      </c>
      <c r="M44" s="543">
        <f t="shared" si="6"/>
        <v>13041643</v>
      </c>
      <c r="N44" s="542">
        <f t="shared" si="7"/>
        <v>13205945</v>
      </c>
      <c r="O44" s="535"/>
    </row>
    <row r="45" spans="1:20" ht="15.75">
      <c r="A45" s="533" t="s">
        <v>132</v>
      </c>
      <c r="B45" s="541" t="s">
        <v>315</v>
      </c>
      <c r="C45" s="542">
        <f>Tong_hop!C37</f>
        <v>8906066</v>
      </c>
      <c r="D45" s="542">
        <f>Tong_hop!D37</f>
        <v>124158</v>
      </c>
      <c r="E45" s="542">
        <f>Tong_hop!E37</f>
        <v>127138</v>
      </c>
      <c r="F45" s="542">
        <f>Tong_hop!F37</f>
        <v>561807</v>
      </c>
      <c r="G45" s="542">
        <f>Tong_hop!G37</f>
        <v>402320</v>
      </c>
      <c r="H45" s="542">
        <f t="shared" si="2"/>
        <v>9994351</v>
      </c>
      <c r="I45" s="542">
        <f t="shared" si="3"/>
        <v>10121489</v>
      </c>
      <c r="J45" s="542">
        <f t="shared" si="4"/>
        <v>1998870</v>
      </c>
      <c r="K45" s="542">
        <f t="shared" si="5"/>
        <v>2024298</v>
      </c>
      <c r="L45" s="558" t="s">
        <v>406</v>
      </c>
      <c r="M45" s="543">
        <f t="shared" si="6"/>
        <v>11993221</v>
      </c>
      <c r="N45" s="542">
        <f t="shared" si="7"/>
        <v>12145787</v>
      </c>
      <c r="O45" s="535"/>
    </row>
    <row r="46" spans="1:20" ht="31.5">
      <c r="A46" s="533" t="s">
        <v>320</v>
      </c>
      <c r="B46" s="541" t="s">
        <v>321</v>
      </c>
      <c r="C46" s="542">
        <f>Tong_hop!C38</f>
        <v>54342099</v>
      </c>
      <c r="D46" s="542">
        <f>Tong_hop!D38</f>
        <v>754497</v>
      </c>
      <c r="E46" s="542">
        <f>Tong_hop!E38</f>
        <v>772608</v>
      </c>
      <c r="F46" s="542">
        <f>Tong_hop!F38</f>
        <v>3414055</v>
      </c>
      <c r="G46" s="542">
        <f>Tong_hop!G38</f>
        <v>2444866</v>
      </c>
      <c r="H46" s="542">
        <f t="shared" si="2"/>
        <v>60955517</v>
      </c>
      <c r="I46" s="542">
        <f t="shared" si="3"/>
        <v>61728125</v>
      </c>
      <c r="J46" s="542">
        <f t="shared" si="4"/>
        <v>12191103</v>
      </c>
      <c r="K46" s="542">
        <f t="shared" si="5"/>
        <v>12345625</v>
      </c>
      <c r="L46" s="558" t="s">
        <v>406</v>
      </c>
      <c r="M46" s="543">
        <f t="shared" si="6"/>
        <v>73146620</v>
      </c>
      <c r="N46" s="542">
        <f t="shared" si="7"/>
        <v>74073750</v>
      </c>
      <c r="O46" s="535"/>
    </row>
    <row r="47" spans="1:20" ht="31.5">
      <c r="A47" s="533" t="s">
        <v>129</v>
      </c>
      <c r="B47" s="541" t="s">
        <v>322</v>
      </c>
      <c r="C47" s="542">
        <f>Tong_hop!C39</f>
        <v>19673852</v>
      </c>
      <c r="D47" s="542">
        <f>Tong_hop!D39</f>
        <v>273784</v>
      </c>
      <c r="E47" s="542">
        <f>Tong_hop!E39</f>
        <v>280356</v>
      </c>
      <c r="F47" s="542">
        <f>Tong_hop!F39</f>
        <v>1238856</v>
      </c>
      <c r="G47" s="542">
        <f>Tong_hop!G39</f>
        <v>887167</v>
      </c>
      <c r="H47" s="542">
        <f t="shared" si="2"/>
        <v>22073659</v>
      </c>
      <c r="I47" s="542">
        <f t="shared" si="3"/>
        <v>22354015</v>
      </c>
      <c r="J47" s="542">
        <f t="shared" si="4"/>
        <v>4414732</v>
      </c>
      <c r="K47" s="542">
        <f t="shared" si="5"/>
        <v>4470803</v>
      </c>
      <c r="L47" s="558" t="s">
        <v>406</v>
      </c>
      <c r="M47" s="543">
        <f t="shared" si="6"/>
        <v>26488391</v>
      </c>
      <c r="N47" s="542">
        <f t="shared" si="7"/>
        <v>26824818</v>
      </c>
      <c r="O47" s="535"/>
    </row>
    <row r="48" spans="1:20" ht="31.5">
      <c r="A48" s="533" t="s">
        <v>130</v>
      </c>
      <c r="B48" s="541" t="s">
        <v>323</v>
      </c>
      <c r="C48" s="542">
        <f>Tong_hop!C40</f>
        <v>15195661</v>
      </c>
      <c r="D48" s="542">
        <f>Tong_hop!D40</f>
        <v>210113</v>
      </c>
      <c r="E48" s="542">
        <f>Tong_hop!E40</f>
        <v>215157</v>
      </c>
      <c r="F48" s="542">
        <f>Tong_hop!F40</f>
        <v>950750</v>
      </c>
      <c r="G48" s="542">
        <f>Tong_hop!G40</f>
        <v>680849</v>
      </c>
      <c r="H48" s="542">
        <f t="shared" si="2"/>
        <v>17037373</v>
      </c>
      <c r="I48" s="542">
        <f t="shared" si="3"/>
        <v>17252530</v>
      </c>
      <c r="J48" s="542">
        <f t="shared" si="4"/>
        <v>3407475</v>
      </c>
      <c r="K48" s="542">
        <f t="shared" si="5"/>
        <v>3450506</v>
      </c>
      <c r="L48" s="558" t="s">
        <v>406</v>
      </c>
      <c r="M48" s="543">
        <f t="shared" si="6"/>
        <v>20444848</v>
      </c>
      <c r="N48" s="542">
        <f t="shared" si="7"/>
        <v>20703036</v>
      </c>
      <c r="O48" s="535"/>
    </row>
    <row r="49" spans="1:22" ht="31.5">
      <c r="A49" s="533" t="s">
        <v>131</v>
      </c>
      <c r="B49" s="541" t="s">
        <v>324</v>
      </c>
      <c r="C49" s="542">
        <f>Tong_hop!C41</f>
        <v>19472585</v>
      </c>
      <c r="D49" s="542">
        <f>Tong_hop!D41</f>
        <v>270600</v>
      </c>
      <c r="E49" s="542">
        <f>Tong_hop!E41</f>
        <v>277096</v>
      </c>
      <c r="F49" s="542">
        <f>Tong_hop!F41</f>
        <v>1224450</v>
      </c>
      <c r="G49" s="542">
        <f>Tong_hop!G41</f>
        <v>876851</v>
      </c>
      <c r="H49" s="542">
        <f t="shared" si="2"/>
        <v>21844486</v>
      </c>
      <c r="I49" s="542">
        <f t="shared" si="3"/>
        <v>22121582</v>
      </c>
      <c r="J49" s="542">
        <f t="shared" si="4"/>
        <v>4368897</v>
      </c>
      <c r="K49" s="542">
        <f t="shared" si="5"/>
        <v>4424316</v>
      </c>
      <c r="L49" s="558" t="s">
        <v>406</v>
      </c>
      <c r="M49" s="543">
        <f t="shared" si="6"/>
        <v>26213383</v>
      </c>
      <c r="N49" s="542">
        <f t="shared" si="7"/>
        <v>26545898</v>
      </c>
      <c r="O49" s="547"/>
      <c r="P49" s="546"/>
      <c r="Q49" s="546"/>
      <c r="R49" s="546"/>
      <c r="S49" s="546"/>
      <c r="T49" s="546"/>
      <c r="U49" s="546"/>
      <c r="V49" s="546"/>
    </row>
    <row r="50" spans="1:22" ht="15.75">
      <c r="A50" s="533" t="s">
        <v>316</v>
      </c>
      <c r="B50" s="541" t="s">
        <v>377</v>
      </c>
      <c r="C50" s="542"/>
      <c r="D50" s="542"/>
      <c r="E50" s="542"/>
      <c r="F50" s="542"/>
      <c r="G50" s="542"/>
      <c r="H50" s="542"/>
      <c r="I50" s="542"/>
      <c r="J50" s="542"/>
      <c r="K50" s="542"/>
      <c r="L50" s="558" t="s">
        <v>406</v>
      </c>
      <c r="M50" s="559">
        <f>M51+M52+M53+M54</f>
        <v>93591470</v>
      </c>
      <c r="N50" s="559">
        <f>N51+N52+N53+N54</f>
        <v>94776788</v>
      </c>
      <c r="O50" s="547"/>
      <c r="P50" s="546"/>
      <c r="Q50" s="546"/>
      <c r="R50" s="546"/>
      <c r="S50" s="546"/>
      <c r="T50" s="546"/>
      <c r="U50" s="546"/>
      <c r="V50" s="546"/>
    </row>
    <row r="51" spans="1:22" ht="77.25" customHeight="1">
      <c r="A51" s="533" t="s">
        <v>129</v>
      </c>
      <c r="B51" s="541" t="s">
        <v>395</v>
      </c>
      <c r="C51" s="542"/>
      <c r="D51" s="542"/>
      <c r="E51" s="542"/>
      <c r="F51" s="542"/>
      <c r="G51" s="542"/>
      <c r="H51" s="542"/>
      <c r="I51" s="542"/>
      <c r="J51" s="542"/>
      <c r="K51" s="542"/>
      <c r="L51" s="555" t="s">
        <v>406</v>
      </c>
      <c r="M51" s="543">
        <f>M47+M48</f>
        <v>46933239</v>
      </c>
      <c r="N51" s="543">
        <f>N47+N48</f>
        <v>47527854</v>
      </c>
      <c r="O51" s="545" t="s">
        <v>397</v>
      </c>
      <c r="P51" s="546"/>
      <c r="Q51" s="546"/>
      <c r="R51" s="546"/>
      <c r="S51" s="546"/>
      <c r="T51" s="546"/>
      <c r="U51" s="546"/>
      <c r="V51" s="546"/>
    </row>
    <row r="52" spans="1:22" ht="57" customHeight="1">
      <c r="A52" s="533" t="s">
        <v>130</v>
      </c>
      <c r="B52" s="541" t="s">
        <v>394</v>
      </c>
      <c r="C52" s="542"/>
      <c r="D52" s="542"/>
      <c r="E52" s="542"/>
      <c r="F52" s="542"/>
      <c r="G52" s="542"/>
      <c r="H52" s="542"/>
      <c r="I52" s="542"/>
      <c r="J52" s="542"/>
      <c r="K52" s="542"/>
      <c r="L52" s="555" t="s">
        <v>406</v>
      </c>
      <c r="M52" s="543">
        <f>M49*0.5</f>
        <v>13106691.5</v>
      </c>
      <c r="N52" s="543">
        <f>N49*0.5</f>
        <v>13272949</v>
      </c>
      <c r="O52" s="545" t="s">
        <v>389</v>
      </c>
      <c r="P52" s="546"/>
      <c r="Q52" s="546"/>
      <c r="R52" s="546"/>
      <c r="S52" s="546"/>
      <c r="T52" s="546"/>
      <c r="U52" s="546"/>
      <c r="V52" s="546"/>
    </row>
    <row r="53" spans="1:22" ht="62.25" customHeight="1">
      <c r="A53" s="533" t="s">
        <v>131</v>
      </c>
      <c r="B53" s="541" t="s">
        <v>393</v>
      </c>
      <c r="C53" s="542"/>
      <c r="D53" s="542"/>
      <c r="E53" s="542"/>
      <c r="F53" s="542"/>
      <c r="G53" s="542"/>
      <c r="H53" s="542"/>
      <c r="I53" s="542"/>
      <c r="J53" s="542"/>
      <c r="K53" s="542"/>
      <c r="L53" s="555" t="s">
        <v>406</v>
      </c>
      <c r="M53" s="543">
        <f>M49*0.5</f>
        <v>13106691.5</v>
      </c>
      <c r="N53" s="543">
        <f>N49*0.5</f>
        <v>13272949</v>
      </c>
      <c r="O53" s="545" t="s">
        <v>389</v>
      </c>
      <c r="P53" s="546"/>
      <c r="Q53" s="546"/>
      <c r="R53" s="546"/>
      <c r="S53" s="546"/>
      <c r="T53" s="546"/>
      <c r="U53" s="546"/>
      <c r="V53" s="546"/>
    </row>
    <row r="54" spans="1:22" ht="66.75" customHeight="1">
      <c r="A54" s="533" t="s">
        <v>132</v>
      </c>
      <c r="B54" s="541" t="s">
        <v>378</v>
      </c>
      <c r="C54" s="542"/>
      <c r="D54" s="542"/>
      <c r="E54" s="542"/>
      <c r="F54" s="542"/>
      <c r="G54" s="542"/>
      <c r="H54" s="542"/>
      <c r="I54" s="542"/>
      <c r="J54" s="542"/>
      <c r="K54" s="542"/>
      <c r="L54" s="555" t="s">
        <v>406</v>
      </c>
      <c r="M54" s="543">
        <f>M48</f>
        <v>20444848</v>
      </c>
      <c r="N54" s="542">
        <f>N48</f>
        <v>20703036</v>
      </c>
      <c r="O54" s="545" t="s">
        <v>388</v>
      </c>
      <c r="P54" s="546"/>
      <c r="Q54" s="546"/>
      <c r="R54" s="546"/>
      <c r="S54" s="546"/>
      <c r="T54" s="546"/>
      <c r="U54" s="546"/>
      <c r="V54" s="546"/>
    </row>
    <row r="55" spans="1:22" ht="60">
      <c r="A55" s="533" t="s">
        <v>325</v>
      </c>
      <c r="B55" s="541" t="s">
        <v>379</v>
      </c>
      <c r="C55" s="542"/>
      <c r="D55" s="542"/>
      <c r="E55" s="542"/>
      <c r="F55" s="542"/>
      <c r="G55" s="542"/>
      <c r="H55" s="542"/>
      <c r="I55" s="542"/>
      <c r="J55" s="542"/>
      <c r="K55" s="542"/>
      <c r="L55" s="555" t="s">
        <v>406</v>
      </c>
      <c r="M55" s="543">
        <f>M63</f>
        <v>15978884</v>
      </c>
      <c r="N55" s="542">
        <f>N63</f>
        <v>16182305</v>
      </c>
      <c r="O55" s="545" t="s">
        <v>387</v>
      </c>
      <c r="P55" s="546"/>
      <c r="Q55" s="546"/>
      <c r="R55" s="546"/>
      <c r="S55" s="546"/>
      <c r="T55" s="546"/>
      <c r="U55" s="546"/>
      <c r="V55" s="546"/>
    </row>
    <row r="56" spans="1:22" ht="60">
      <c r="A56" s="533" t="s">
        <v>129</v>
      </c>
      <c r="B56" s="541" t="s">
        <v>380</v>
      </c>
      <c r="C56" s="542"/>
      <c r="D56" s="542"/>
      <c r="E56" s="542"/>
      <c r="F56" s="542"/>
      <c r="G56" s="542"/>
      <c r="H56" s="542"/>
      <c r="I56" s="542"/>
      <c r="J56" s="542"/>
      <c r="K56" s="542"/>
      <c r="L56" s="555" t="s">
        <v>406</v>
      </c>
      <c r="M56" s="543">
        <f>M55/3</f>
        <v>5326294.666666667</v>
      </c>
      <c r="N56" s="542">
        <f>N55/3</f>
        <v>5394101.666666667</v>
      </c>
      <c r="O56" s="545" t="s">
        <v>409</v>
      </c>
      <c r="P56" s="546"/>
      <c r="Q56" s="546"/>
      <c r="R56" s="546"/>
      <c r="S56" s="546"/>
      <c r="T56" s="546"/>
      <c r="U56" s="546"/>
      <c r="V56" s="546"/>
    </row>
    <row r="57" spans="1:22" ht="60">
      <c r="A57" s="533" t="s">
        <v>130</v>
      </c>
      <c r="B57" s="541" t="s">
        <v>381</v>
      </c>
      <c r="C57" s="542"/>
      <c r="D57" s="542"/>
      <c r="E57" s="542"/>
      <c r="F57" s="542"/>
      <c r="G57" s="542"/>
      <c r="H57" s="542"/>
      <c r="I57" s="542"/>
      <c r="J57" s="542"/>
      <c r="K57" s="542"/>
      <c r="L57" s="555" t="s">
        <v>406</v>
      </c>
      <c r="M57" s="543">
        <f>M56</f>
        <v>5326294.666666667</v>
      </c>
      <c r="N57" s="542">
        <f>N56</f>
        <v>5394101.666666667</v>
      </c>
      <c r="O57" s="545" t="s">
        <v>409</v>
      </c>
      <c r="P57" s="546"/>
      <c r="Q57" s="546"/>
      <c r="R57" s="546"/>
      <c r="S57" s="546"/>
      <c r="T57" s="546"/>
      <c r="U57" s="546"/>
      <c r="V57" s="546"/>
    </row>
    <row r="58" spans="1:22" ht="60">
      <c r="A58" s="533" t="s">
        <v>131</v>
      </c>
      <c r="B58" s="541" t="s">
        <v>382</v>
      </c>
      <c r="C58" s="542"/>
      <c r="D58" s="542"/>
      <c r="E58" s="542"/>
      <c r="F58" s="542"/>
      <c r="G58" s="542"/>
      <c r="H58" s="542"/>
      <c r="I58" s="542"/>
      <c r="J58" s="542"/>
      <c r="K58" s="542"/>
      <c r="L58" s="555" t="s">
        <v>406</v>
      </c>
      <c r="M58" s="543">
        <f>M57</f>
        <v>5326294.666666667</v>
      </c>
      <c r="N58" s="543">
        <f>N57</f>
        <v>5394101.666666667</v>
      </c>
      <c r="O58" s="545" t="s">
        <v>409</v>
      </c>
      <c r="P58" s="546"/>
      <c r="Q58" s="546"/>
      <c r="R58" s="546"/>
      <c r="S58" s="546"/>
      <c r="T58" s="546"/>
      <c r="U58" s="546"/>
      <c r="V58" s="546"/>
    </row>
    <row r="59" spans="1:22" ht="15.75">
      <c r="A59" s="533" t="s">
        <v>329</v>
      </c>
      <c r="B59" s="541" t="s">
        <v>317</v>
      </c>
      <c r="C59" s="542">
        <f>Tong_hop!C42</f>
        <v>5887061</v>
      </c>
      <c r="D59" s="542">
        <f>Tong_hop!D42</f>
        <v>82772</v>
      </c>
      <c r="E59" s="542">
        <f>Tong_hop!E42</f>
        <v>84759</v>
      </c>
      <c r="F59" s="542">
        <f>Tong_hop!F42</f>
        <v>374538</v>
      </c>
      <c r="G59" s="542">
        <f>Tong_hop!G42</f>
        <v>268213</v>
      </c>
      <c r="H59" s="542">
        <f t="shared" si="2"/>
        <v>6612584</v>
      </c>
      <c r="I59" s="542">
        <f t="shared" si="3"/>
        <v>6697343</v>
      </c>
      <c r="J59" s="542">
        <f t="shared" si="4"/>
        <v>1322517</v>
      </c>
      <c r="K59" s="542">
        <f t="shared" si="5"/>
        <v>1339469</v>
      </c>
      <c r="L59" s="555" t="s">
        <v>405</v>
      </c>
      <c r="M59" s="543">
        <f t="shared" ref="M59:M68" si="8">ROUND((H59+J59),0)</f>
        <v>7935101</v>
      </c>
      <c r="N59" s="542">
        <f t="shared" ref="N59:N68" si="9">ROUND((I59+K59),0)</f>
        <v>8036812</v>
      </c>
      <c r="O59" s="535"/>
    </row>
    <row r="60" spans="1:22" ht="31.5">
      <c r="A60" s="533" t="s">
        <v>129</v>
      </c>
      <c r="B60" s="541" t="s">
        <v>318</v>
      </c>
      <c r="C60" s="542">
        <f>Tong_hop!C43</f>
        <v>3803947</v>
      </c>
      <c r="D60" s="542">
        <f>Tong_hop!D43</f>
        <v>50937</v>
      </c>
      <c r="E60" s="542">
        <f>Tong_hop!E43</f>
        <v>52159</v>
      </c>
      <c r="F60" s="542">
        <f>Tong_hop!F43</f>
        <v>230485</v>
      </c>
      <c r="G60" s="542">
        <f>Tong_hop!G43</f>
        <v>165054</v>
      </c>
      <c r="H60" s="542">
        <f t="shared" si="2"/>
        <v>4250423</v>
      </c>
      <c r="I60" s="542">
        <f t="shared" si="3"/>
        <v>4302582</v>
      </c>
      <c r="J60" s="542">
        <f t="shared" si="4"/>
        <v>850085</v>
      </c>
      <c r="K60" s="542">
        <f t="shared" si="5"/>
        <v>860516</v>
      </c>
      <c r="L60" s="555" t="s">
        <v>405</v>
      </c>
      <c r="M60" s="543">
        <f t="shared" si="8"/>
        <v>5100508</v>
      </c>
      <c r="N60" s="542">
        <f t="shared" si="9"/>
        <v>5163098</v>
      </c>
      <c r="O60" s="535"/>
    </row>
    <row r="61" spans="1:22" ht="15.75">
      <c r="A61" s="533" t="s">
        <v>130</v>
      </c>
      <c r="B61" s="541" t="s">
        <v>309</v>
      </c>
      <c r="C61" s="542">
        <f>Tong_hop!C44</f>
        <v>1091874</v>
      </c>
      <c r="D61" s="542">
        <f>Tong_hop!D44</f>
        <v>15918</v>
      </c>
      <c r="E61" s="542">
        <f>Tong_hop!E44</f>
        <v>16300</v>
      </c>
      <c r="F61" s="542">
        <f>Tong_hop!F44</f>
        <v>72026</v>
      </c>
      <c r="G61" s="542">
        <f>Tong_hop!G44</f>
        <v>51579</v>
      </c>
      <c r="H61" s="542">
        <f t="shared" si="2"/>
        <v>1231397</v>
      </c>
      <c r="I61" s="542">
        <f t="shared" si="3"/>
        <v>1247697</v>
      </c>
      <c r="J61" s="542">
        <f t="shared" si="4"/>
        <v>246279</v>
      </c>
      <c r="K61" s="542">
        <f t="shared" si="5"/>
        <v>249539</v>
      </c>
      <c r="L61" s="555" t="s">
        <v>405</v>
      </c>
      <c r="M61" s="543">
        <f t="shared" si="8"/>
        <v>1477676</v>
      </c>
      <c r="N61" s="542">
        <f t="shared" si="9"/>
        <v>1497236</v>
      </c>
      <c r="O61" s="535"/>
    </row>
    <row r="62" spans="1:22" ht="15.75">
      <c r="A62" s="533" t="s">
        <v>131</v>
      </c>
      <c r="B62" s="541" t="s">
        <v>319</v>
      </c>
      <c r="C62" s="542">
        <f>Tong_hop!C45</f>
        <v>1091874</v>
      </c>
      <c r="D62" s="542">
        <f>Tong_hop!D45</f>
        <v>15918</v>
      </c>
      <c r="E62" s="542">
        <f>Tong_hop!E45</f>
        <v>16300</v>
      </c>
      <c r="F62" s="542">
        <f>Tong_hop!F45</f>
        <v>72026</v>
      </c>
      <c r="G62" s="542">
        <f>Tong_hop!G45</f>
        <v>51579</v>
      </c>
      <c r="H62" s="542">
        <f t="shared" si="2"/>
        <v>1231397</v>
      </c>
      <c r="I62" s="542">
        <f t="shared" si="3"/>
        <v>1247697</v>
      </c>
      <c r="J62" s="542">
        <f t="shared" si="4"/>
        <v>246279</v>
      </c>
      <c r="K62" s="542">
        <f t="shared" si="5"/>
        <v>249539</v>
      </c>
      <c r="L62" s="555" t="s">
        <v>405</v>
      </c>
      <c r="M62" s="543">
        <f t="shared" si="8"/>
        <v>1477676</v>
      </c>
      <c r="N62" s="542">
        <f t="shared" si="9"/>
        <v>1497236</v>
      </c>
      <c r="O62" s="535"/>
    </row>
    <row r="63" spans="1:22" ht="15.75">
      <c r="A63" s="533" t="s">
        <v>383</v>
      </c>
      <c r="B63" s="541" t="s">
        <v>326</v>
      </c>
      <c r="C63" s="542">
        <f>Tong_hop!C46</f>
        <v>11864692</v>
      </c>
      <c r="D63" s="542">
        <f>Tong_hop!D46</f>
        <v>165544</v>
      </c>
      <c r="E63" s="542">
        <f>Tong_hop!E46</f>
        <v>169517</v>
      </c>
      <c r="F63" s="542">
        <f>Tong_hop!F46</f>
        <v>749075</v>
      </c>
      <c r="G63" s="542">
        <f>Tong_hop!G46</f>
        <v>536426</v>
      </c>
      <c r="H63" s="542">
        <f t="shared" si="2"/>
        <v>13315737</v>
      </c>
      <c r="I63" s="542">
        <f t="shared" si="3"/>
        <v>13485254</v>
      </c>
      <c r="J63" s="542">
        <f t="shared" si="4"/>
        <v>2663147</v>
      </c>
      <c r="K63" s="542">
        <f t="shared" si="5"/>
        <v>2697051</v>
      </c>
      <c r="L63" s="555" t="s">
        <v>405</v>
      </c>
      <c r="M63" s="543">
        <f t="shared" si="8"/>
        <v>15978884</v>
      </c>
      <c r="N63" s="542">
        <f t="shared" si="9"/>
        <v>16182305</v>
      </c>
      <c r="O63" s="535"/>
    </row>
    <row r="64" spans="1:22" ht="15.75">
      <c r="A64" s="533" t="s">
        <v>129</v>
      </c>
      <c r="B64" s="541" t="s">
        <v>327</v>
      </c>
      <c r="C64" s="542">
        <f>Tong_hop!C47</f>
        <v>9077143</v>
      </c>
      <c r="D64" s="542">
        <f>Tong_hop!D47</f>
        <v>127341</v>
      </c>
      <c r="E64" s="542">
        <f>Tong_hop!E47</f>
        <v>130398</v>
      </c>
      <c r="F64" s="542">
        <f>Tong_hop!F47</f>
        <v>576212</v>
      </c>
      <c r="G64" s="542">
        <f>Tong_hop!G47</f>
        <v>412636</v>
      </c>
      <c r="H64" s="542">
        <f t="shared" si="2"/>
        <v>10193332</v>
      </c>
      <c r="I64" s="542">
        <f t="shared" si="3"/>
        <v>10323730</v>
      </c>
      <c r="J64" s="542">
        <f t="shared" si="4"/>
        <v>2038666</v>
      </c>
      <c r="K64" s="542">
        <f t="shared" si="5"/>
        <v>2064746</v>
      </c>
      <c r="L64" s="555" t="s">
        <v>405</v>
      </c>
      <c r="M64" s="543">
        <f t="shared" si="8"/>
        <v>12231998</v>
      </c>
      <c r="N64" s="542">
        <f t="shared" si="9"/>
        <v>12388476</v>
      </c>
      <c r="O64" s="535"/>
    </row>
    <row r="65" spans="1:17" ht="15.75">
      <c r="A65" s="533" t="s">
        <v>130</v>
      </c>
      <c r="B65" s="541" t="s">
        <v>328</v>
      </c>
      <c r="C65" s="542">
        <f>Tong_hop!C48</f>
        <v>2787548</v>
      </c>
      <c r="D65" s="542">
        <f>Tong_hop!D48</f>
        <v>38202</v>
      </c>
      <c r="E65" s="542">
        <f>Tong_hop!E48</f>
        <v>39119</v>
      </c>
      <c r="F65" s="542">
        <f>Tong_hop!F48</f>
        <v>172864</v>
      </c>
      <c r="G65" s="542">
        <f>Tong_hop!G48</f>
        <v>123791</v>
      </c>
      <c r="H65" s="542">
        <f t="shared" si="2"/>
        <v>3122405</v>
      </c>
      <c r="I65" s="542">
        <f t="shared" si="3"/>
        <v>3161524</v>
      </c>
      <c r="J65" s="542">
        <f t="shared" si="4"/>
        <v>624481</v>
      </c>
      <c r="K65" s="542">
        <f t="shared" si="5"/>
        <v>632305</v>
      </c>
      <c r="L65" s="555" t="s">
        <v>405</v>
      </c>
      <c r="M65" s="543">
        <f t="shared" si="8"/>
        <v>3746886</v>
      </c>
      <c r="N65" s="542">
        <f t="shared" si="9"/>
        <v>3793829</v>
      </c>
      <c r="O65" s="535"/>
    </row>
    <row r="66" spans="1:17" ht="31.5">
      <c r="A66" s="533" t="s">
        <v>400</v>
      </c>
      <c r="B66" s="541" t="s">
        <v>330</v>
      </c>
      <c r="C66" s="542">
        <f>Tong_hop!C49</f>
        <v>4744870</v>
      </c>
      <c r="D66" s="542">
        <f>Tong_hop!D49</f>
        <v>66854</v>
      </c>
      <c r="E66" s="542">
        <f>Tong_hop!E49</f>
        <v>68459</v>
      </c>
      <c r="F66" s="542">
        <f>Tong_hop!F49</f>
        <v>302511</v>
      </c>
      <c r="G66" s="542">
        <f>Tong_hop!G49</f>
        <v>216634</v>
      </c>
      <c r="H66" s="542">
        <f t="shared" si="2"/>
        <v>5330869</v>
      </c>
      <c r="I66" s="542">
        <f t="shared" si="3"/>
        <v>5399328</v>
      </c>
      <c r="J66" s="542">
        <f t="shared" si="4"/>
        <v>1066174</v>
      </c>
      <c r="K66" s="542">
        <f t="shared" si="5"/>
        <v>1079866</v>
      </c>
      <c r="L66" s="555" t="s">
        <v>405</v>
      </c>
      <c r="M66" s="543">
        <f t="shared" si="8"/>
        <v>6397043</v>
      </c>
      <c r="N66" s="542">
        <f t="shared" si="9"/>
        <v>6479194</v>
      </c>
      <c r="O66" s="535"/>
    </row>
    <row r="67" spans="1:17" ht="15.75">
      <c r="A67" s="533" t="s">
        <v>129</v>
      </c>
      <c r="B67" s="541" t="s">
        <v>111</v>
      </c>
      <c r="C67" s="542">
        <f>Tong_hop!C50</f>
        <v>2113304</v>
      </c>
      <c r="D67" s="542">
        <f>Tong_hop!D50</f>
        <v>28652</v>
      </c>
      <c r="E67" s="542">
        <f>Tong_hop!E50</f>
        <v>29340</v>
      </c>
      <c r="F67" s="542">
        <f>Tong_hop!F50</f>
        <v>129648</v>
      </c>
      <c r="G67" s="542">
        <f>Tong_hop!G50</f>
        <v>92843</v>
      </c>
      <c r="H67" s="542">
        <f t="shared" si="2"/>
        <v>2364447</v>
      </c>
      <c r="I67" s="542">
        <f t="shared" si="3"/>
        <v>2393787</v>
      </c>
      <c r="J67" s="542">
        <f t="shared" si="4"/>
        <v>472889</v>
      </c>
      <c r="K67" s="542">
        <f t="shared" si="5"/>
        <v>478757</v>
      </c>
      <c r="L67" s="555" t="s">
        <v>405</v>
      </c>
      <c r="M67" s="543">
        <f t="shared" si="8"/>
        <v>2837336</v>
      </c>
      <c r="N67" s="542">
        <f t="shared" si="9"/>
        <v>2872544</v>
      </c>
      <c r="O67" s="535"/>
    </row>
    <row r="68" spans="1:17" ht="15.75">
      <c r="A68" s="533" t="s">
        <v>130</v>
      </c>
      <c r="B68" s="541" t="s">
        <v>331</v>
      </c>
      <c r="C68" s="542">
        <f>Tong_hop!C51</f>
        <v>2631566</v>
      </c>
      <c r="D68" s="542">
        <f>Tong_hop!D51</f>
        <v>38202</v>
      </c>
      <c r="E68" s="542">
        <f>Tong_hop!E51</f>
        <v>39119</v>
      </c>
      <c r="F68" s="542">
        <f>Tong_hop!F51</f>
        <v>172864</v>
      </c>
      <c r="G68" s="542">
        <f>Tong_hop!G51</f>
        <v>123791</v>
      </c>
      <c r="H68" s="542">
        <f t="shared" si="2"/>
        <v>2966423</v>
      </c>
      <c r="I68" s="542">
        <f t="shared" si="3"/>
        <v>3005542</v>
      </c>
      <c r="J68" s="542">
        <f t="shared" si="4"/>
        <v>593285</v>
      </c>
      <c r="K68" s="542">
        <f t="shared" si="5"/>
        <v>601108</v>
      </c>
      <c r="L68" s="555" t="s">
        <v>405</v>
      </c>
      <c r="M68" s="543">
        <f t="shared" si="8"/>
        <v>3559708</v>
      </c>
      <c r="N68" s="542">
        <f t="shared" si="9"/>
        <v>3606650</v>
      </c>
      <c r="O68" s="535"/>
    </row>
    <row r="69" spans="1:17" ht="20.25" customHeight="1">
      <c r="A69" s="533" t="s">
        <v>401</v>
      </c>
      <c r="B69" s="541" t="s">
        <v>384</v>
      </c>
      <c r="C69" s="542"/>
      <c r="D69" s="542"/>
      <c r="E69" s="542"/>
      <c r="F69" s="542"/>
      <c r="G69" s="542"/>
      <c r="H69" s="542"/>
      <c r="I69" s="542"/>
      <c r="J69" s="542"/>
      <c r="K69" s="542"/>
      <c r="L69" s="555"/>
      <c r="M69" s="543">
        <f t="shared" ref="M69:N71" si="10">M66</f>
        <v>6397043</v>
      </c>
      <c r="N69" s="542">
        <f t="shared" si="10"/>
        <v>6479194</v>
      </c>
      <c r="O69" s="654" t="s">
        <v>410</v>
      </c>
      <c r="P69" s="546"/>
      <c r="Q69" s="546"/>
    </row>
    <row r="70" spans="1:17" ht="18.75" customHeight="1">
      <c r="A70" s="533" t="s">
        <v>129</v>
      </c>
      <c r="B70" s="541" t="s">
        <v>385</v>
      </c>
      <c r="C70" s="542"/>
      <c r="D70" s="542"/>
      <c r="E70" s="542"/>
      <c r="F70" s="542"/>
      <c r="G70" s="542"/>
      <c r="H70" s="542"/>
      <c r="I70" s="542"/>
      <c r="J70" s="542"/>
      <c r="K70" s="542"/>
      <c r="L70" s="555" t="s">
        <v>406</v>
      </c>
      <c r="M70" s="543">
        <f t="shared" si="10"/>
        <v>2837336</v>
      </c>
      <c r="N70" s="542">
        <f t="shared" si="10"/>
        <v>2872544</v>
      </c>
      <c r="O70" s="655"/>
    </row>
    <row r="71" spans="1:17" ht="21" customHeight="1">
      <c r="A71" s="533" t="s">
        <v>130</v>
      </c>
      <c r="B71" s="541" t="s">
        <v>386</v>
      </c>
      <c r="C71" s="542"/>
      <c r="D71" s="542"/>
      <c r="E71" s="542"/>
      <c r="F71" s="542"/>
      <c r="G71" s="542"/>
      <c r="H71" s="542"/>
      <c r="I71" s="542"/>
      <c r="J71" s="542"/>
      <c r="K71" s="542"/>
      <c r="L71" s="555" t="s">
        <v>406</v>
      </c>
      <c r="M71" s="543">
        <f t="shared" si="10"/>
        <v>3559708</v>
      </c>
      <c r="N71" s="542">
        <f t="shared" si="10"/>
        <v>3606650</v>
      </c>
      <c r="O71" s="656"/>
    </row>
    <row r="72" spans="1:17" ht="31.5">
      <c r="A72" s="548" t="s">
        <v>43</v>
      </c>
      <c r="B72" s="549" t="s">
        <v>112</v>
      </c>
      <c r="C72" s="542">
        <f>Tong_hop!C52</f>
        <v>12579190</v>
      </c>
      <c r="D72" s="542">
        <f>Tong_hop!D52</f>
        <v>175094</v>
      </c>
      <c r="E72" s="542">
        <f>Tong_hop!E52</f>
        <v>179297</v>
      </c>
      <c r="F72" s="542">
        <f>Tong_hop!F52</f>
        <v>792291</v>
      </c>
      <c r="G72" s="542">
        <f>Tong_hop!G52</f>
        <v>567374</v>
      </c>
      <c r="H72" s="542">
        <f t="shared" si="2"/>
        <v>14113949</v>
      </c>
      <c r="I72" s="542">
        <f t="shared" si="3"/>
        <v>14293246</v>
      </c>
      <c r="J72" s="542">
        <f t="shared" si="4"/>
        <v>2822790</v>
      </c>
      <c r="K72" s="542">
        <f t="shared" si="5"/>
        <v>2858649</v>
      </c>
      <c r="L72" s="555" t="s">
        <v>405</v>
      </c>
      <c r="M72" s="543">
        <f t="shared" ref="M72:M87" si="11">ROUND((H72+J72),0)</f>
        <v>16936739</v>
      </c>
      <c r="N72" s="542">
        <f t="shared" ref="N72:N87" si="12">ROUND((I72+K72),0)</f>
        <v>17151895</v>
      </c>
      <c r="O72" s="535"/>
    </row>
    <row r="73" spans="1:17" ht="18.75" customHeight="1">
      <c r="A73" s="548" t="s">
        <v>129</v>
      </c>
      <c r="B73" s="549" t="s">
        <v>236</v>
      </c>
      <c r="C73" s="542">
        <f>Tong_hop!C53</f>
        <v>12579190</v>
      </c>
      <c r="D73" s="542">
        <f>Tong_hop!D53</f>
        <v>175094</v>
      </c>
      <c r="E73" s="542">
        <f>Tong_hop!E53</f>
        <v>179297</v>
      </c>
      <c r="F73" s="542">
        <f>Tong_hop!F53</f>
        <v>792291</v>
      </c>
      <c r="G73" s="542">
        <f>Tong_hop!G53</f>
        <v>567374</v>
      </c>
      <c r="H73" s="542">
        <f t="shared" si="2"/>
        <v>14113949</v>
      </c>
      <c r="I73" s="542">
        <f t="shared" si="3"/>
        <v>14293246</v>
      </c>
      <c r="J73" s="542">
        <f t="shared" si="4"/>
        <v>2822790</v>
      </c>
      <c r="K73" s="542">
        <f t="shared" si="5"/>
        <v>2858649</v>
      </c>
      <c r="L73" s="555" t="s">
        <v>405</v>
      </c>
      <c r="M73" s="543">
        <f t="shared" si="11"/>
        <v>16936739</v>
      </c>
      <c r="N73" s="542">
        <f t="shared" si="12"/>
        <v>17151895</v>
      </c>
      <c r="O73" s="535"/>
    </row>
    <row r="74" spans="1:17" ht="18.75" customHeight="1">
      <c r="A74" s="548" t="s">
        <v>130</v>
      </c>
      <c r="B74" s="549" t="s">
        <v>237</v>
      </c>
      <c r="C74" s="542">
        <f>Tong_hop!C54</f>
        <v>10063352</v>
      </c>
      <c r="D74" s="542">
        <f>Tong_hop!D54</f>
        <v>140075</v>
      </c>
      <c r="E74" s="542">
        <f>Tong_hop!E54</f>
        <v>143438</v>
      </c>
      <c r="F74" s="542">
        <f>Tong_hop!F54</f>
        <v>633833</v>
      </c>
      <c r="G74" s="542">
        <f>Tong_hop!G54</f>
        <v>453899</v>
      </c>
      <c r="H74" s="542">
        <f t="shared" si="2"/>
        <v>11291159</v>
      </c>
      <c r="I74" s="542">
        <f t="shared" si="3"/>
        <v>11434597</v>
      </c>
      <c r="J74" s="542">
        <f t="shared" si="4"/>
        <v>2258232</v>
      </c>
      <c r="K74" s="542">
        <f t="shared" si="5"/>
        <v>2286919</v>
      </c>
      <c r="L74" s="555" t="s">
        <v>405</v>
      </c>
      <c r="M74" s="543">
        <f t="shared" si="11"/>
        <v>13549391</v>
      </c>
      <c r="N74" s="542">
        <f t="shared" si="12"/>
        <v>13721516</v>
      </c>
      <c r="O74" s="535"/>
    </row>
    <row r="75" spans="1:17" ht="18.75" customHeight="1">
      <c r="A75" s="548" t="s">
        <v>131</v>
      </c>
      <c r="B75" s="549" t="s">
        <v>238</v>
      </c>
      <c r="C75" s="542">
        <f>Tong_hop!C55</f>
        <v>7547514</v>
      </c>
      <c r="D75" s="542">
        <f>Tong_hop!D55</f>
        <v>105057</v>
      </c>
      <c r="E75" s="542">
        <f>Tong_hop!E55</f>
        <v>107578</v>
      </c>
      <c r="F75" s="542">
        <f>Tong_hop!F55</f>
        <v>475375</v>
      </c>
      <c r="G75" s="542">
        <f>Tong_hop!G55</f>
        <v>340424</v>
      </c>
      <c r="H75" s="542">
        <f t="shared" si="2"/>
        <v>8468370</v>
      </c>
      <c r="I75" s="542">
        <f t="shared" si="3"/>
        <v>8575948</v>
      </c>
      <c r="J75" s="542">
        <f t="shared" si="4"/>
        <v>1693674</v>
      </c>
      <c r="K75" s="542">
        <f t="shared" si="5"/>
        <v>1715190</v>
      </c>
      <c r="L75" s="555" t="s">
        <v>405</v>
      </c>
      <c r="M75" s="543">
        <f t="shared" si="11"/>
        <v>10162044</v>
      </c>
      <c r="N75" s="542">
        <f t="shared" si="12"/>
        <v>10291138</v>
      </c>
      <c r="O75" s="535"/>
    </row>
    <row r="76" spans="1:17" ht="18.75" customHeight="1">
      <c r="A76" s="548" t="s">
        <v>132</v>
      </c>
      <c r="B76" s="549" t="s">
        <v>239</v>
      </c>
      <c r="C76" s="542">
        <f>Tong_hop!C56</f>
        <v>5031676</v>
      </c>
      <c r="D76" s="542">
        <f>Tong_hop!D56</f>
        <v>70038</v>
      </c>
      <c r="E76" s="542">
        <f>Tong_hop!E56</f>
        <v>71719</v>
      </c>
      <c r="F76" s="542">
        <f>Tong_hop!F56</f>
        <v>316917</v>
      </c>
      <c r="G76" s="542">
        <f>Tong_hop!G56</f>
        <v>226950</v>
      </c>
      <c r="H76" s="542">
        <f t="shared" si="2"/>
        <v>5645581</v>
      </c>
      <c r="I76" s="542">
        <f t="shared" si="3"/>
        <v>5717300</v>
      </c>
      <c r="J76" s="542">
        <f t="shared" si="4"/>
        <v>1129116</v>
      </c>
      <c r="K76" s="542">
        <f t="shared" si="5"/>
        <v>1143460</v>
      </c>
      <c r="L76" s="555" t="s">
        <v>405</v>
      </c>
      <c r="M76" s="543">
        <f t="shared" si="11"/>
        <v>6774697</v>
      </c>
      <c r="N76" s="542">
        <f t="shared" si="12"/>
        <v>6860760</v>
      </c>
      <c r="O76" s="535"/>
    </row>
    <row r="77" spans="1:17" ht="18.75" customHeight="1">
      <c r="A77" s="548" t="s">
        <v>230</v>
      </c>
      <c r="B77" s="549" t="s">
        <v>240</v>
      </c>
      <c r="C77" s="542">
        <f>Tong_hop!C57</f>
        <v>5031676</v>
      </c>
      <c r="D77" s="542">
        <f>Tong_hop!D57</f>
        <v>70038</v>
      </c>
      <c r="E77" s="542">
        <f>Tong_hop!E57</f>
        <v>71719</v>
      </c>
      <c r="F77" s="542">
        <f>Tong_hop!F57</f>
        <v>316917</v>
      </c>
      <c r="G77" s="542">
        <f>Tong_hop!G57</f>
        <v>226950</v>
      </c>
      <c r="H77" s="542">
        <f t="shared" si="2"/>
        <v>5645581</v>
      </c>
      <c r="I77" s="542">
        <f t="shared" si="3"/>
        <v>5717300</v>
      </c>
      <c r="J77" s="542">
        <f t="shared" si="4"/>
        <v>1129116</v>
      </c>
      <c r="K77" s="542">
        <f t="shared" si="5"/>
        <v>1143460</v>
      </c>
      <c r="L77" s="555" t="s">
        <v>405</v>
      </c>
      <c r="M77" s="543">
        <f t="shared" si="11"/>
        <v>6774697</v>
      </c>
      <c r="N77" s="542">
        <f t="shared" si="12"/>
        <v>6860760</v>
      </c>
      <c r="O77" s="535"/>
    </row>
    <row r="78" spans="1:17" ht="15.75">
      <c r="A78" s="531">
        <v>5</v>
      </c>
      <c r="B78" s="550" t="s">
        <v>113</v>
      </c>
      <c r="C78" s="538">
        <f>Tong_hop!C58</f>
        <v>0</v>
      </c>
      <c r="D78" s="538">
        <f>Tong_hop!D58</f>
        <v>0</v>
      </c>
      <c r="E78" s="538">
        <f>Tong_hop!E58</f>
        <v>0</v>
      </c>
      <c r="F78" s="538">
        <f>Tong_hop!F58</f>
        <v>0</v>
      </c>
      <c r="G78" s="538">
        <f>Tong_hop!G58</f>
        <v>0</v>
      </c>
      <c r="H78" s="538">
        <f t="shared" si="2"/>
        <v>0</v>
      </c>
      <c r="I78" s="538">
        <f t="shared" si="3"/>
        <v>0</v>
      </c>
      <c r="J78" s="538">
        <f t="shared" si="4"/>
        <v>0</v>
      </c>
      <c r="K78" s="538">
        <f t="shared" si="5"/>
        <v>0</v>
      </c>
      <c r="L78" s="556"/>
      <c r="M78" s="539">
        <f t="shared" si="11"/>
        <v>0</v>
      </c>
      <c r="N78" s="538">
        <f t="shared" si="12"/>
        <v>0</v>
      </c>
      <c r="O78" s="535"/>
    </row>
    <row r="79" spans="1:17" ht="15.75">
      <c r="A79" s="548" t="s">
        <v>266</v>
      </c>
      <c r="B79" s="549" t="s">
        <v>154</v>
      </c>
      <c r="C79" s="542">
        <f>Tong_hop!C59</f>
        <v>267762</v>
      </c>
      <c r="D79" s="542">
        <f>Tong_hop!D59</f>
        <v>5048</v>
      </c>
      <c r="E79" s="542">
        <f>Tong_hop!E59</f>
        <v>5534</v>
      </c>
      <c r="F79" s="542">
        <f>Tong_hop!F59</f>
        <v>22642</v>
      </c>
      <c r="G79" s="542">
        <f>Tong_hop!G59</f>
        <v>1266386</v>
      </c>
      <c r="H79" s="542">
        <f t="shared" si="2"/>
        <v>1561838</v>
      </c>
      <c r="I79" s="542">
        <f t="shared" si="3"/>
        <v>1567372</v>
      </c>
      <c r="J79" s="542">
        <f t="shared" si="4"/>
        <v>312368</v>
      </c>
      <c r="K79" s="542">
        <f t="shared" si="5"/>
        <v>313474</v>
      </c>
      <c r="L79" s="555" t="s">
        <v>407</v>
      </c>
      <c r="M79" s="543">
        <f t="shared" si="11"/>
        <v>1874206</v>
      </c>
      <c r="N79" s="542">
        <f t="shared" si="12"/>
        <v>1880846</v>
      </c>
      <c r="O79" s="535"/>
    </row>
    <row r="80" spans="1:17" ht="15.75">
      <c r="A80" s="548" t="s">
        <v>267</v>
      </c>
      <c r="B80" s="549" t="s">
        <v>235</v>
      </c>
      <c r="C80" s="542">
        <f>Tong_hop!C60</f>
        <v>120865</v>
      </c>
      <c r="D80" s="542">
        <f>Tong_hop!D60</f>
        <v>3029</v>
      </c>
      <c r="E80" s="542">
        <f>Tong_hop!E60</f>
        <v>3321</v>
      </c>
      <c r="F80" s="542">
        <f>Tong_hop!F60</f>
        <v>13585</v>
      </c>
      <c r="G80" s="542">
        <f>Tong_hop!G60</f>
        <v>759832</v>
      </c>
      <c r="H80" s="542">
        <f t="shared" si="2"/>
        <v>897311</v>
      </c>
      <c r="I80" s="542">
        <f t="shared" si="3"/>
        <v>900632</v>
      </c>
      <c r="J80" s="542">
        <f t="shared" si="4"/>
        <v>179462</v>
      </c>
      <c r="K80" s="542">
        <f t="shared" si="5"/>
        <v>180126</v>
      </c>
      <c r="L80" s="555" t="s">
        <v>408</v>
      </c>
      <c r="M80" s="543">
        <f t="shared" si="11"/>
        <v>1076773</v>
      </c>
      <c r="N80" s="542">
        <f t="shared" si="12"/>
        <v>1080758</v>
      </c>
      <c r="O80" s="535"/>
    </row>
    <row r="81" spans="1:15" ht="31.5">
      <c r="A81" s="548" t="s">
        <v>333</v>
      </c>
      <c r="B81" s="549" t="s">
        <v>114</v>
      </c>
      <c r="C81" s="542">
        <f>Tong_hop!C61</f>
        <v>94213</v>
      </c>
      <c r="D81" s="542">
        <f>Tong_hop!D61</f>
        <v>3533</v>
      </c>
      <c r="E81" s="542">
        <f>Tong_hop!E61</f>
        <v>3874</v>
      </c>
      <c r="F81" s="542">
        <f>Tong_hop!F61</f>
        <v>15849</v>
      </c>
      <c r="G81" s="542">
        <f>Tong_hop!G61</f>
        <v>886470</v>
      </c>
      <c r="H81" s="542">
        <f t="shared" si="2"/>
        <v>1000065</v>
      </c>
      <c r="I81" s="542">
        <f t="shared" si="3"/>
        <v>1003939</v>
      </c>
      <c r="J81" s="542">
        <f t="shared" si="4"/>
        <v>200013</v>
      </c>
      <c r="K81" s="542">
        <f t="shared" si="5"/>
        <v>200788</v>
      </c>
      <c r="L81" s="555" t="s">
        <v>408</v>
      </c>
      <c r="M81" s="543">
        <f t="shared" si="11"/>
        <v>1200078</v>
      </c>
      <c r="N81" s="542">
        <f t="shared" si="12"/>
        <v>1204727</v>
      </c>
      <c r="O81" s="535"/>
    </row>
    <row r="82" spans="1:15" ht="15.75">
      <c r="A82" s="531">
        <v>6</v>
      </c>
      <c r="B82" s="550" t="s">
        <v>115</v>
      </c>
      <c r="C82" s="538">
        <f>Tong_hop!C62</f>
        <v>247927</v>
      </c>
      <c r="D82" s="538">
        <f>Tong_hop!D62</f>
        <v>3399</v>
      </c>
      <c r="E82" s="538">
        <f>Tong_hop!E62</f>
        <v>1546</v>
      </c>
      <c r="F82" s="538">
        <f>Tong_hop!F62</f>
        <v>9444</v>
      </c>
      <c r="G82" s="538">
        <f>Tong_hop!G62</f>
        <v>61535</v>
      </c>
      <c r="H82" s="538">
        <f t="shared" si="2"/>
        <v>322305</v>
      </c>
      <c r="I82" s="538">
        <f t="shared" si="3"/>
        <v>323851</v>
      </c>
      <c r="J82" s="538">
        <f t="shared" si="4"/>
        <v>64461</v>
      </c>
      <c r="K82" s="538">
        <f t="shared" si="5"/>
        <v>64770</v>
      </c>
      <c r="L82" s="556" t="s">
        <v>405</v>
      </c>
      <c r="M82" s="539">
        <f t="shared" si="11"/>
        <v>386766</v>
      </c>
      <c r="N82" s="538">
        <f t="shared" si="12"/>
        <v>388621</v>
      </c>
      <c r="O82" s="535"/>
    </row>
    <row r="83" spans="1:15" ht="15.75">
      <c r="A83" s="531">
        <v>7</v>
      </c>
      <c r="B83" s="550" t="s">
        <v>116</v>
      </c>
      <c r="C83" s="538">
        <f>Tong_hop!C63</f>
        <v>1163032</v>
      </c>
      <c r="D83" s="538">
        <f>Tong_hop!D63</f>
        <v>17667</v>
      </c>
      <c r="E83" s="538">
        <f>Tong_hop!E63</f>
        <v>6707</v>
      </c>
      <c r="F83" s="538">
        <f>Tong_hop!F63</f>
        <v>48351</v>
      </c>
      <c r="G83" s="538">
        <f>Tong_hop!G63</f>
        <v>3305610</v>
      </c>
      <c r="H83" s="538">
        <f t="shared" si="2"/>
        <v>4534660</v>
      </c>
      <c r="I83" s="538">
        <f t="shared" si="3"/>
        <v>4541367</v>
      </c>
      <c r="J83" s="538">
        <f t="shared" si="4"/>
        <v>906932</v>
      </c>
      <c r="K83" s="538">
        <f t="shared" si="5"/>
        <v>908273</v>
      </c>
      <c r="L83" s="556"/>
      <c r="M83" s="539">
        <f t="shared" si="11"/>
        <v>5441592</v>
      </c>
      <c r="N83" s="538">
        <f t="shared" si="12"/>
        <v>5449640</v>
      </c>
      <c r="O83" s="535"/>
    </row>
    <row r="84" spans="1:15" ht="15.75">
      <c r="A84" s="548" t="s">
        <v>334</v>
      </c>
      <c r="B84" s="549" t="s">
        <v>117</v>
      </c>
      <c r="C84" s="542">
        <f>Tong_hop!C64</f>
        <v>348910</v>
      </c>
      <c r="D84" s="542">
        <f>Tong_hop!D64</f>
        <v>5277</v>
      </c>
      <c r="E84" s="542">
        <f>Tong_hop!E64</f>
        <v>2004</v>
      </c>
      <c r="F84" s="542">
        <f>Tong_hop!F64</f>
        <v>14443</v>
      </c>
      <c r="G84" s="542">
        <f>Tong_hop!G64</f>
        <v>987390</v>
      </c>
      <c r="H84" s="542">
        <f t="shared" si="2"/>
        <v>1356020</v>
      </c>
      <c r="I84" s="542">
        <f t="shared" si="3"/>
        <v>1358024</v>
      </c>
      <c r="J84" s="542">
        <f t="shared" si="4"/>
        <v>271204</v>
      </c>
      <c r="K84" s="542">
        <f t="shared" si="5"/>
        <v>271605</v>
      </c>
      <c r="L84" s="555" t="s">
        <v>408</v>
      </c>
      <c r="M84" s="543">
        <f t="shared" si="11"/>
        <v>1627224</v>
      </c>
      <c r="N84" s="542">
        <f t="shared" si="12"/>
        <v>1629629</v>
      </c>
      <c r="O84" s="535"/>
    </row>
    <row r="85" spans="1:15" ht="15.75">
      <c r="A85" s="548" t="s">
        <v>335</v>
      </c>
      <c r="B85" s="549" t="s">
        <v>118</v>
      </c>
      <c r="C85" s="542">
        <f>Tong_hop!C65</f>
        <v>814123</v>
      </c>
      <c r="D85" s="542">
        <f>Tong_hop!D65</f>
        <v>0</v>
      </c>
      <c r="E85" s="542">
        <f>Tong_hop!E65</f>
        <v>0</v>
      </c>
      <c r="F85" s="542">
        <f>Tong_hop!F65</f>
        <v>0</v>
      </c>
      <c r="G85" s="542">
        <f>Tong_hop!G65</f>
        <v>0</v>
      </c>
      <c r="H85" s="542">
        <f t="shared" si="2"/>
        <v>814123</v>
      </c>
      <c r="I85" s="542">
        <f t="shared" si="3"/>
        <v>814123</v>
      </c>
      <c r="J85" s="542">
        <f t="shared" si="4"/>
        <v>162825</v>
      </c>
      <c r="K85" s="542">
        <f t="shared" si="5"/>
        <v>162825</v>
      </c>
      <c r="L85" s="555"/>
      <c r="M85" s="543">
        <f t="shared" si="11"/>
        <v>976948</v>
      </c>
      <c r="N85" s="542">
        <f t="shared" si="12"/>
        <v>976948</v>
      </c>
      <c r="O85" s="535"/>
    </row>
    <row r="86" spans="1:15" ht="31.5">
      <c r="A86" s="548" t="s">
        <v>336</v>
      </c>
      <c r="B86" s="549" t="s">
        <v>119</v>
      </c>
      <c r="C86" s="542">
        <f>Tong_hop!C66</f>
        <v>348910</v>
      </c>
      <c r="D86" s="542">
        <f>Tong_hop!D66</f>
        <v>5277</v>
      </c>
      <c r="E86" s="542">
        <f>Tong_hop!E66</f>
        <v>2004</v>
      </c>
      <c r="F86" s="542">
        <f>Tong_hop!F66</f>
        <v>14443</v>
      </c>
      <c r="G86" s="542">
        <f>Tong_hop!G66</f>
        <v>987390</v>
      </c>
      <c r="H86" s="542">
        <f t="shared" si="2"/>
        <v>1356020</v>
      </c>
      <c r="I86" s="542">
        <f t="shared" si="3"/>
        <v>1358024</v>
      </c>
      <c r="J86" s="542">
        <f t="shared" si="4"/>
        <v>271204</v>
      </c>
      <c r="K86" s="542">
        <f t="shared" si="5"/>
        <v>271605</v>
      </c>
      <c r="L86" s="555" t="s">
        <v>408</v>
      </c>
      <c r="M86" s="543">
        <f t="shared" si="11"/>
        <v>1627224</v>
      </c>
      <c r="N86" s="542">
        <f t="shared" si="12"/>
        <v>1629629</v>
      </c>
      <c r="O86" s="551"/>
    </row>
    <row r="87" spans="1:15" ht="31.5">
      <c r="A87" s="548" t="s">
        <v>338</v>
      </c>
      <c r="B87" s="549" t="s">
        <v>234</v>
      </c>
      <c r="C87" s="542">
        <f>Tong_hop!C67</f>
        <v>465213</v>
      </c>
      <c r="D87" s="542">
        <f>Tong_hop!D67</f>
        <v>7113</v>
      </c>
      <c r="E87" s="542">
        <f>Tong_hop!E67</f>
        <v>2700</v>
      </c>
      <c r="F87" s="542">
        <f>Tong_hop!F67</f>
        <v>19466</v>
      </c>
      <c r="G87" s="542">
        <f>Tong_hop!G67</f>
        <v>1330830</v>
      </c>
      <c r="H87" s="542">
        <f t="shared" si="2"/>
        <v>1822622</v>
      </c>
      <c r="I87" s="542">
        <f t="shared" si="3"/>
        <v>1825322</v>
      </c>
      <c r="J87" s="542">
        <f t="shared" si="4"/>
        <v>364524</v>
      </c>
      <c r="K87" s="542">
        <f t="shared" si="5"/>
        <v>365064</v>
      </c>
      <c r="L87" s="555" t="s">
        <v>407</v>
      </c>
      <c r="M87" s="543">
        <f t="shared" si="11"/>
        <v>2187146</v>
      </c>
      <c r="N87" s="542">
        <f t="shared" si="12"/>
        <v>2190386</v>
      </c>
      <c r="O87" s="551"/>
    </row>
    <row r="88" spans="1:15" ht="54.95" customHeight="1"/>
    <row r="89" spans="1:15" ht="54.95" customHeight="1"/>
    <row r="90" spans="1:15" ht="24.95" customHeight="1"/>
    <row r="91" spans="1:15" ht="24.95" customHeight="1"/>
    <row r="92" spans="1:15" ht="54.95" customHeight="1"/>
    <row r="93" spans="1:15" ht="24.95" customHeight="1"/>
    <row r="95" spans="1:15" ht="35.1" customHeight="1"/>
    <row r="96" spans="1:15" ht="24.95" customHeight="1"/>
    <row r="97" ht="24.95" customHeight="1"/>
    <row r="98" ht="35.1" customHeight="1"/>
    <row r="101" ht="35.1" customHeight="1"/>
    <row r="102" ht="35.1" customHeight="1"/>
    <row r="103" ht="24.95" customHeight="1"/>
    <row r="104" ht="35.1" customHeight="1"/>
    <row r="105" ht="24.95" customHeight="1"/>
  </sheetData>
  <mergeCells count="14">
    <mergeCell ref="O4:O5"/>
    <mergeCell ref="B4:B5"/>
    <mergeCell ref="A4:A5"/>
    <mergeCell ref="O69:O71"/>
    <mergeCell ref="L4:L5"/>
    <mergeCell ref="A2:M2"/>
    <mergeCell ref="J4:K4"/>
    <mergeCell ref="A1:N1"/>
    <mergeCell ref="D4:D5"/>
    <mergeCell ref="H4:I4"/>
    <mergeCell ref="E4:F4"/>
    <mergeCell ref="G4:G5"/>
    <mergeCell ref="M4:N4"/>
    <mergeCell ref="C4:C5"/>
  </mergeCells>
  <printOptions horizontalCentered="1"/>
  <pageMargins left="0.25" right="0" top="0.25" bottom="0.25" header="0.3" footer="0.25"/>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3" sqref="H13"/>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5"/>
  <sheetViews>
    <sheetView workbookViewId="0">
      <selection activeCell="F15" sqref="F15"/>
    </sheetView>
  </sheetViews>
  <sheetFormatPr defaultRowHeight="15"/>
  <cols>
    <col min="1" max="1" width="7.85546875" style="21" customWidth="1"/>
    <col min="2" max="2" width="33" style="21" customWidth="1"/>
    <col min="3" max="3" width="11.5703125" style="21" customWidth="1"/>
    <col min="4" max="4" width="12.28515625" style="21" customWidth="1"/>
    <col min="5" max="5" width="15" style="21" customWidth="1"/>
    <col min="6" max="6" width="19.140625" style="33" customWidth="1"/>
    <col min="7" max="7" width="19.5703125" style="21" customWidth="1"/>
    <col min="8" max="8" width="16.7109375" style="21" hidden="1" customWidth="1"/>
    <col min="9" max="9" width="18" style="21" customWidth="1"/>
    <col min="10" max="10" width="9.140625" style="21"/>
    <col min="11" max="11" width="9.42578125" style="21" bestFit="1" customWidth="1"/>
    <col min="12" max="16384" width="9.140625" style="21"/>
  </cols>
  <sheetData>
    <row r="1" spans="1:11" ht="24" customHeight="1">
      <c r="A1" s="575" t="s">
        <v>348</v>
      </c>
      <c r="B1" s="575"/>
      <c r="C1" s="575"/>
      <c r="D1" s="575"/>
      <c r="E1" s="575"/>
      <c r="F1" s="575"/>
      <c r="G1" s="575"/>
      <c r="H1" s="575"/>
      <c r="I1" s="575"/>
    </row>
    <row r="2" spans="1:11" ht="18.75" customHeight="1">
      <c r="A2" s="576" t="s">
        <v>255</v>
      </c>
      <c r="B2" s="576"/>
      <c r="C2" s="576"/>
      <c r="D2" s="576"/>
      <c r="E2" s="10"/>
      <c r="F2" s="22"/>
      <c r="G2" s="10"/>
      <c r="H2" s="10"/>
      <c r="I2" s="1" t="s">
        <v>89</v>
      </c>
    </row>
    <row r="3" spans="1:11" ht="19.5" customHeight="1">
      <c r="A3" s="217" t="s">
        <v>32</v>
      </c>
      <c r="B3" s="574" t="s">
        <v>45</v>
      </c>
      <c r="C3" s="574"/>
      <c r="D3" s="574"/>
      <c r="E3" s="574"/>
      <c r="F3" s="22"/>
      <c r="G3" s="10"/>
      <c r="H3" s="10"/>
      <c r="I3" s="10"/>
    </row>
    <row r="4" spans="1:11" ht="19.5" customHeight="1">
      <c r="A4" s="217" t="s">
        <v>256</v>
      </c>
      <c r="B4" s="574" t="s">
        <v>339</v>
      </c>
      <c r="C4" s="574"/>
      <c r="D4" s="574"/>
      <c r="E4" s="574"/>
      <c r="F4" s="574"/>
      <c r="G4" s="10"/>
      <c r="H4" s="10"/>
      <c r="I4" s="10"/>
    </row>
    <row r="5" spans="1:11" ht="5.25" customHeight="1">
      <c r="A5" s="217"/>
      <c r="B5" s="338"/>
      <c r="C5" s="338"/>
      <c r="D5" s="338"/>
      <c r="E5" s="338"/>
      <c r="F5" s="338"/>
      <c r="G5" s="10"/>
      <c r="H5" s="10"/>
      <c r="I5" s="10"/>
    </row>
    <row r="6" spans="1:11" ht="61.5" customHeight="1">
      <c r="A6" s="386" t="s">
        <v>46</v>
      </c>
      <c r="B6" s="341" t="s">
        <v>47</v>
      </c>
      <c r="C6" s="341" t="s">
        <v>48</v>
      </c>
      <c r="D6" s="341" t="s">
        <v>253</v>
      </c>
      <c r="E6" s="342" t="s">
        <v>140</v>
      </c>
      <c r="F6" s="343" t="s">
        <v>291</v>
      </c>
      <c r="G6" s="342" t="s">
        <v>50</v>
      </c>
      <c r="H6" s="342" t="s">
        <v>51</v>
      </c>
      <c r="I6" s="342" t="s">
        <v>141</v>
      </c>
    </row>
    <row r="7" spans="1:11" ht="21" customHeight="1">
      <c r="A7" s="344" t="s">
        <v>7</v>
      </c>
      <c r="B7" s="344" t="s">
        <v>8</v>
      </c>
      <c r="C7" s="344" t="s">
        <v>9</v>
      </c>
      <c r="D7" s="344" t="s">
        <v>21</v>
      </c>
      <c r="E7" s="344" t="s">
        <v>52</v>
      </c>
      <c r="F7" s="345" t="s">
        <v>22</v>
      </c>
      <c r="G7" s="346" t="s">
        <v>219</v>
      </c>
      <c r="H7" s="346" t="s">
        <v>53</v>
      </c>
      <c r="I7" s="346" t="s">
        <v>218</v>
      </c>
    </row>
    <row r="8" spans="1:11" ht="21.75" customHeight="1">
      <c r="A8" s="347">
        <v>1</v>
      </c>
      <c r="B8" s="348" t="s">
        <v>54</v>
      </c>
      <c r="C8" s="347" t="s">
        <v>55</v>
      </c>
      <c r="D8" s="347">
        <v>60</v>
      </c>
      <c r="E8" s="373">
        <v>1.72</v>
      </c>
      <c r="F8" s="349">
        <v>800000</v>
      </c>
      <c r="G8" s="350">
        <f>ROUND((F8/(D8*26)),2)</f>
        <v>512.82000000000005</v>
      </c>
      <c r="H8" s="351">
        <f>I8</f>
        <v>882</v>
      </c>
      <c r="I8" s="374">
        <f t="shared" ref="I8:I16" si="0">ROUND(E8*G8,0)</f>
        <v>882</v>
      </c>
      <c r="K8" s="46"/>
    </row>
    <row r="9" spans="1:11" ht="21.75" customHeight="1">
      <c r="A9" s="353">
        <v>2</v>
      </c>
      <c r="B9" s="354" t="s">
        <v>138</v>
      </c>
      <c r="C9" s="347" t="s">
        <v>55</v>
      </c>
      <c r="D9" s="353">
        <v>60</v>
      </c>
      <c r="E9" s="376">
        <v>1.72</v>
      </c>
      <c r="F9" s="355">
        <v>300000</v>
      </c>
      <c r="G9" s="350">
        <f t="shared" ref="G9:G16" si="1">ROUND((F9/(D9*26)),2)</f>
        <v>192.31</v>
      </c>
      <c r="H9" s="351">
        <f t="shared" ref="H9:H16" si="2">I9</f>
        <v>331</v>
      </c>
      <c r="I9" s="375">
        <f t="shared" si="0"/>
        <v>331</v>
      </c>
    </row>
    <row r="10" spans="1:11" ht="22.5" customHeight="1">
      <c r="A10" s="347">
        <v>3</v>
      </c>
      <c r="B10" s="354" t="s">
        <v>60</v>
      </c>
      <c r="C10" s="347" t="s">
        <v>55</v>
      </c>
      <c r="D10" s="353">
        <v>24</v>
      </c>
      <c r="E10" s="376">
        <v>0.01</v>
      </c>
      <c r="F10" s="355">
        <v>35000</v>
      </c>
      <c r="G10" s="350">
        <f t="shared" si="1"/>
        <v>56.09</v>
      </c>
      <c r="H10" s="387">
        <f>I10</f>
        <v>1</v>
      </c>
      <c r="I10" s="388">
        <f t="shared" si="0"/>
        <v>1</v>
      </c>
    </row>
    <row r="11" spans="1:11" ht="22.5" customHeight="1">
      <c r="A11" s="353">
        <v>4</v>
      </c>
      <c r="B11" s="354" t="s">
        <v>139</v>
      </c>
      <c r="C11" s="347" t="s">
        <v>55</v>
      </c>
      <c r="D11" s="353">
        <v>12</v>
      </c>
      <c r="E11" s="376">
        <v>0.11</v>
      </c>
      <c r="F11" s="355">
        <v>160000</v>
      </c>
      <c r="G11" s="350">
        <f t="shared" si="1"/>
        <v>512.82000000000005</v>
      </c>
      <c r="H11" s="351">
        <f t="shared" si="2"/>
        <v>56</v>
      </c>
      <c r="I11" s="388">
        <f t="shared" si="0"/>
        <v>56</v>
      </c>
    </row>
    <row r="12" spans="1:11" ht="21.75" customHeight="1">
      <c r="A12" s="347">
        <v>5</v>
      </c>
      <c r="B12" s="354" t="s">
        <v>62</v>
      </c>
      <c r="C12" s="347" t="s">
        <v>55</v>
      </c>
      <c r="D12" s="353">
        <v>24</v>
      </c>
      <c r="E12" s="376">
        <v>1.72</v>
      </c>
      <c r="F12" s="355">
        <v>60000</v>
      </c>
      <c r="G12" s="350">
        <f t="shared" si="1"/>
        <v>96.15</v>
      </c>
      <c r="H12" s="351">
        <f t="shared" si="2"/>
        <v>165</v>
      </c>
      <c r="I12" s="375">
        <f t="shared" si="0"/>
        <v>165</v>
      </c>
    </row>
    <row r="13" spans="1:11" ht="24.95" customHeight="1">
      <c r="A13" s="353">
        <v>6</v>
      </c>
      <c r="B13" s="354" t="s">
        <v>59</v>
      </c>
      <c r="C13" s="347" t="s">
        <v>55</v>
      </c>
      <c r="D13" s="353">
        <v>60</v>
      </c>
      <c r="E13" s="376">
        <v>0.43</v>
      </c>
      <c r="F13" s="355">
        <v>1400000</v>
      </c>
      <c r="G13" s="350">
        <f t="shared" si="1"/>
        <v>897.44</v>
      </c>
      <c r="H13" s="351">
        <f t="shared" si="2"/>
        <v>386</v>
      </c>
      <c r="I13" s="388">
        <f t="shared" si="0"/>
        <v>386</v>
      </c>
    </row>
    <row r="14" spans="1:11" ht="24.95" customHeight="1">
      <c r="A14" s="347">
        <v>7</v>
      </c>
      <c r="B14" s="354" t="s">
        <v>56</v>
      </c>
      <c r="C14" s="347" t="s">
        <v>55</v>
      </c>
      <c r="D14" s="353">
        <v>12</v>
      </c>
      <c r="E14" s="376">
        <v>1.72</v>
      </c>
      <c r="F14" s="355">
        <v>100000</v>
      </c>
      <c r="G14" s="350">
        <f t="shared" si="1"/>
        <v>320.51</v>
      </c>
      <c r="H14" s="351">
        <f t="shared" si="2"/>
        <v>551</v>
      </c>
      <c r="I14" s="388">
        <f t="shared" si="0"/>
        <v>551</v>
      </c>
    </row>
    <row r="15" spans="1:11" ht="24.95" customHeight="1">
      <c r="A15" s="353">
        <v>8</v>
      </c>
      <c r="B15" s="354" t="s">
        <v>61</v>
      </c>
      <c r="C15" s="347" t="s">
        <v>55</v>
      </c>
      <c r="D15" s="353">
        <v>36</v>
      </c>
      <c r="E15" s="376">
        <v>0.28999999999999998</v>
      </c>
      <c r="F15" s="355">
        <v>250000</v>
      </c>
      <c r="G15" s="350">
        <f t="shared" si="1"/>
        <v>267.08999999999997</v>
      </c>
      <c r="H15" s="351">
        <f t="shared" si="2"/>
        <v>77</v>
      </c>
      <c r="I15" s="375">
        <f t="shared" si="0"/>
        <v>77</v>
      </c>
    </row>
    <row r="16" spans="1:11" ht="24.95" customHeight="1">
      <c r="A16" s="347">
        <v>9</v>
      </c>
      <c r="B16" s="354" t="s">
        <v>63</v>
      </c>
      <c r="C16" s="347" t="s">
        <v>55</v>
      </c>
      <c r="D16" s="353">
        <v>36</v>
      </c>
      <c r="E16" s="376">
        <v>0.28999999999999998</v>
      </c>
      <c r="F16" s="355">
        <v>700000</v>
      </c>
      <c r="G16" s="350">
        <f t="shared" si="1"/>
        <v>747.86</v>
      </c>
      <c r="H16" s="351">
        <f t="shared" si="2"/>
        <v>217</v>
      </c>
      <c r="I16" s="375">
        <f t="shared" si="0"/>
        <v>217</v>
      </c>
    </row>
    <row r="17" spans="1:10" ht="24.95" customHeight="1">
      <c r="A17" s="353">
        <v>10</v>
      </c>
      <c r="B17" s="358" t="s">
        <v>57</v>
      </c>
      <c r="C17" s="359" t="s">
        <v>64</v>
      </c>
      <c r="D17" s="359"/>
      <c r="E17" s="377">
        <v>0.92</v>
      </c>
      <c r="F17" s="360">
        <v>1864.44</v>
      </c>
      <c r="G17" s="350"/>
      <c r="H17" s="362">
        <f>I17</f>
        <v>1715.2848000000001</v>
      </c>
      <c r="I17" s="375">
        <f>F17*E17</f>
        <v>1715.2848000000001</v>
      </c>
    </row>
    <row r="18" spans="1:10" ht="21.75" customHeight="1">
      <c r="A18" s="363"/>
      <c r="B18" s="568" t="s">
        <v>285</v>
      </c>
      <c r="C18" s="569"/>
      <c r="D18" s="569"/>
      <c r="E18" s="569"/>
      <c r="F18" s="569"/>
      <c r="G18" s="570"/>
      <c r="H18" s="364">
        <f>SUM(H8:H17)</f>
        <v>4381.2848000000004</v>
      </c>
      <c r="I18" s="365">
        <f>SUM(I8:I17)</f>
        <v>4381.2848000000004</v>
      </c>
    </row>
    <row r="19" spans="1:10" ht="22.5" customHeight="1">
      <c r="A19" s="363"/>
      <c r="B19" s="568" t="s">
        <v>284</v>
      </c>
      <c r="C19" s="569"/>
      <c r="D19" s="569"/>
      <c r="E19" s="569"/>
      <c r="F19" s="569"/>
      <c r="G19" s="570"/>
      <c r="H19" s="364"/>
      <c r="I19" s="365">
        <f>I18*0.05</f>
        <v>219.06424000000004</v>
      </c>
    </row>
    <row r="20" spans="1:10" ht="16.5">
      <c r="A20" s="366"/>
      <c r="B20" s="571" t="s">
        <v>65</v>
      </c>
      <c r="C20" s="572"/>
      <c r="D20" s="572"/>
      <c r="E20" s="572"/>
      <c r="F20" s="572"/>
      <c r="G20" s="573"/>
      <c r="H20" s="366"/>
      <c r="I20" s="368">
        <f>I18+I19</f>
        <v>4600.3490400000001</v>
      </c>
      <c r="J20" s="390"/>
    </row>
    <row r="21" spans="1:10" ht="9" customHeight="1">
      <c r="A21" s="323"/>
      <c r="B21" s="323"/>
      <c r="C21" s="323"/>
      <c r="D21" s="323"/>
      <c r="E21" s="323"/>
      <c r="F21" s="324"/>
      <c r="G21" s="323"/>
      <c r="H21" s="323"/>
      <c r="I21" s="323"/>
    </row>
    <row r="22" spans="1:10" ht="18.75" customHeight="1">
      <c r="A22" s="576" t="s">
        <v>143</v>
      </c>
      <c r="B22" s="576"/>
      <c r="C22" s="576"/>
      <c r="D22" s="576"/>
      <c r="E22" s="576"/>
      <c r="F22" s="576"/>
      <c r="G22" s="576"/>
      <c r="H22" s="576"/>
      <c r="I22" s="576"/>
    </row>
    <row r="23" spans="1:10" ht="8.25" customHeight="1">
      <c r="A23" s="323"/>
      <c r="B23" s="323"/>
      <c r="C23" s="323"/>
      <c r="D23" s="323"/>
      <c r="E23" s="323"/>
      <c r="F23" s="324"/>
      <c r="G23" s="323"/>
      <c r="H23" s="323"/>
      <c r="I23" s="323"/>
    </row>
    <row r="24" spans="1:10" ht="26.25" customHeight="1">
      <c r="A24" s="579" t="s">
        <v>144</v>
      </c>
      <c r="B24" s="579"/>
      <c r="C24" s="577" t="s">
        <v>145</v>
      </c>
      <c r="D24" s="577"/>
      <c r="E24" s="577"/>
      <c r="F24" s="389" t="s">
        <v>146</v>
      </c>
      <c r="G24" s="323"/>
      <c r="H24" s="323"/>
      <c r="I24" s="323"/>
    </row>
    <row r="25" spans="1:10" ht="42" customHeight="1">
      <c r="A25" s="580" t="s">
        <v>339</v>
      </c>
      <c r="B25" s="580"/>
      <c r="C25" s="578">
        <v>0.56000000000000005</v>
      </c>
      <c r="D25" s="578"/>
      <c r="E25" s="578"/>
      <c r="F25" s="327">
        <f>ROUND((I20*C25),0)</f>
        <v>2576</v>
      </c>
      <c r="G25" s="323"/>
      <c r="H25" s="323"/>
      <c r="I25" s="323"/>
    </row>
  </sheetData>
  <mergeCells count="12">
    <mergeCell ref="C25:E25"/>
    <mergeCell ref="A24:B24"/>
    <mergeCell ref="A25:B25"/>
    <mergeCell ref="B4:F4"/>
    <mergeCell ref="B18:G18"/>
    <mergeCell ref="A22:I22"/>
    <mergeCell ref="B19:G19"/>
    <mergeCell ref="B20:G20"/>
    <mergeCell ref="B3:E3"/>
    <mergeCell ref="A1:I1"/>
    <mergeCell ref="A2:D2"/>
    <mergeCell ref="C24:E24"/>
  </mergeCells>
  <printOptions horizontalCentered="1"/>
  <pageMargins left="0.25" right="0.25" top="0.25" bottom="0.25" header="0.3" footer="0.25"/>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D13" sqref="D13"/>
    </sheetView>
  </sheetViews>
  <sheetFormatPr defaultRowHeight="15"/>
  <cols>
    <col min="1" max="1" width="7.85546875" style="21" customWidth="1"/>
    <col min="2" max="2" width="33" style="21" customWidth="1"/>
    <col min="3" max="3" width="11.5703125" style="21" customWidth="1"/>
    <col min="4" max="4" width="12.28515625" style="21" customWidth="1"/>
    <col min="5" max="5" width="15" style="21" customWidth="1"/>
    <col min="6" max="6" width="19.140625" style="33" customWidth="1"/>
    <col min="7" max="7" width="19.5703125" style="21" customWidth="1"/>
    <col min="8" max="8" width="16.7109375" style="21" hidden="1" customWidth="1"/>
    <col min="9" max="9" width="18" style="21" customWidth="1"/>
    <col min="10" max="10" width="9.140625" style="21"/>
    <col min="11" max="11" width="9.42578125" style="21" bestFit="1" customWidth="1"/>
    <col min="12" max="16384" width="9.140625" style="21"/>
  </cols>
  <sheetData>
    <row r="1" spans="1:11" ht="24" customHeight="1">
      <c r="A1" s="575" t="s">
        <v>350</v>
      </c>
      <c r="B1" s="575"/>
      <c r="C1" s="575"/>
      <c r="D1" s="575"/>
      <c r="E1" s="575"/>
      <c r="F1" s="575"/>
      <c r="G1" s="575"/>
      <c r="H1" s="575"/>
      <c r="I1" s="575"/>
    </row>
    <row r="2" spans="1:11" ht="18.75" customHeight="1">
      <c r="A2" s="576" t="s">
        <v>255</v>
      </c>
      <c r="B2" s="576"/>
      <c r="C2" s="576"/>
      <c r="D2" s="576"/>
      <c r="E2" s="10"/>
      <c r="F2" s="22"/>
      <c r="G2" s="10"/>
      <c r="H2" s="10"/>
      <c r="I2" s="1" t="s">
        <v>90</v>
      </c>
    </row>
    <row r="3" spans="1:11" ht="19.5" customHeight="1">
      <c r="A3" s="217" t="s">
        <v>32</v>
      </c>
      <c r="B3" s="574" t="s">
        <v>45</v>
      </c>
      <c r="C3" s="574"/>
      <c r="D3" s="574"/>
      <c r="E3" s="574"/>
      <c r="F3" s="22"/>
      <c r="G3" s="10"/>
      <c r="H3" s="10"/>
      <c r="I3" s="10"/>
    </row>
    <row r="4" spans="1:11" ht="19.5" customHeight="1">
      <c r="A4" s="217" t="s">
        <v>257</v>
      </c>
      <c r="B4" s="574" t="s">
        <v>99</v>
      </c>
      <c r="C4" s="574"/>
      <c r="D4" s="574"/>
      <c r="E4" s="574"/>
      <c r="F4" s="574"/>
      <c r="G4" s="10"/>
      <c r="H4" s="10"/>
      <c r="I4" s="10"/>
    </row>
    <row r="5" spans="1:11" ht="5.25" customHeight="1">
      <c r="A5" s="217"/>
      <c r="B5" s="338"/>
      <c r="C5" s="338"/>
      <c r="D5" s="338"/>
      <c r="E5" s="338"/>
      <c r="F5" s="338"/>
      <c r="G5" s="10"/>
      <c r="H5" s="10"/>
      <c r="I5" s="10"/>
    </row>
    <row r="6" spans="1:11" ht="61.5" customHeight="1">
      <c r="A6" s="386" t="s">
        <v>46</v>
      </c>
      <c r="B6" s="341" t="s">
        <v>47</v>
      </c>
      <c r="C6" s="341" t="s">
        <v>48</v>
      </c>
      <c r="D6" s="341" t="s">
        <v>253</v>
      </c>
      <c r="E6" s="342" t="s">
        <v>140</v>
      </c>
      <c r="F6" s="343" t="s">
        <v>291</v>
      </c>
      <c r="G6" s="342" t="s">
        <v>50</v>
      </c>
      <c r="H6" s="342" t="s">
        <v>51</v>
      </c>
      <c r="I6" s="342" t="s">
        <v>141</v>
      </c>
    </row>
    <row r="7" spans="1:11" ht="21" customHeight="1">
      <c r="A7" s="344" t="s">
        <v>7</v>
      </c>
      <c r="B7" s="344" t="s">
        <v>8</v>
      </c>
      <c r="C7" s="344" t="s">
        <v>9</v>
      </c>
      <c r="D7" s="344" t="s">
        <v>21</v>
      </c>
      <c r="E7" s="344" t="s">
        <v>52</v>
      </c>
      <c r="F7" s="345" t="s">
        <v>22</v>
      </c>
      <c r="G7" s="346" t="s">
        <v>219</v>
      </c>
      <c r="H7" s="346" t="s">
        <v>53</v>
      </c>
      <c r="I7" s="346" t="s">
        <v>218</v>
      </c>
    </row>
    <row r="8" spans="1:11" ht="21.75" customHeight="1">
      <c r="A8" s="347">
        <v>1</v>
      </c>
      <c r="B8" s="348" t="s">
        <v>54</v>
      </c>
      <c r="C8" s="347" t="s">
        <v>55</v>
      </c>
      <c r="D8" s="347">
        <v>60</v>
      </c>
      <c r="E8" s="373">
        <v>7.76</v>
      </c>
      <c r="F8" s="349">
        <v>800000</v>
      </c>
      <c r="G8" s="350">
        <f>ROUND((F8/(D8*26)),2)</f>
        <v>512.82000000000005</v>
      </c>
      <c r="H8" s="351">
        <f>I8</f>
        <v>3979</v>
      </c>
      <c r="I8" s="374">
        <f t="shared" ref="I8:I16" si="0">ROUND(E8*G8,0)</f>
        <v>3979</v>
      </c>
      <c r="K8" s="46"/>
    </row>
    <row r="9" spans="1:11" ht="21.75" customHeight="1">
      <c r="A9" s="353">
        <v>2</v>
      </c>
      <c r="B9" s="354" t="s">
        <v>138</v>
      </c>
      <c r="C9" s="347" t="s">
        <v>55</v>
      </c>
      <c r="D9" s="353">
        <v>60</v>
      </c>
      <c r="E9" s="376">
        <v>7.76</v>
      </c>
      <c r="F9" s="355">
        <v>300000</v>
      </c>
      <c r="G9" s="350">
        <f t="shared" ref="G9:G16" si="1">ROUND((F9/(D9*26)),2)</f>
        <v>192.31</v>
      </c>
      <c r="H9" s="351">
        <f t="shared" ref="H9:H16" si="2">I9</f>
        <v>1492</v>
      </c>
      <c r="I9" s="375">
        <f t="shared" si="0"/>
        <v>1492</v>
      </c>
    </row>
    <row r="10" spans="1:11" ht="22.5" customHeight="1">
      <c r="A10" s="347">
        <v>3</v>
      </c>
      <c r="B10" s="354" t="s">
        <v>60</v>
      </c>
      <c r="C10" s="347" t="s">
        <v>55</v>
      </c>
      <c r="D10" s="353">
        <v>24</v>
      </c>
      <c r="E10" s="376">
        <v>0.02</v>
      </c>
      <c r="F10" s="355">
        <v>35000</v>
      </c>
      <c r="G10" s="350">
        <f t="shared" si="1"/>
        <v>56.09</v>
      </c>
      <c r="H10" s="387">
        <f>I10</f>
        <v>1</v>
      </c>
      <c r="I10" s="388">
        <f t="shared" si="0"/>
        <v>1</v>
      </c>
    </row>
    <row r="11" spans="1:11" ht="22.5" customHeight="1">
      <c r="A11" s="353">
        <v>4</v>
      </c>
      <c r="B11" s="354" t="s">
        <v>139</v>
      </c>
      <c r="C11" s="347" t="s">
        <v>55</v>
      </c>
      <c r="D11" s="353">
        <v>12</v>
      </c>
      <c r="E11" s="376">
        <v>6.09</v>
      </c>
      <c r="F11" s="355">
        <v>160000</v>
      </c>
      <c r="G11" s="350">
        <f t="shared" si="1"/>
        <v>512.82000000000005</v>
      </c>
      <c r="H11" s="351">
        <f t="shared" si="2"/>
        <v>3123</v>
      </c>
      <c r="I11" s="388">
        <f t="shared" si="0"/>
        <v>3123</v>
      </c>
    </row>
    <row r="12" spans="1:11" ht="21.75" customHeight="1">
      <c r="A12" s="347">
        <v>5</v>
      </c>
      <c r="B12" s="354" t="s">
        <v>62</v>
      </c>
      <c r="C12" s="347" t="s">
        <v>55</v>
      </c>
      <c r="D12" s="353">
        <v>24</v>
      </c>
      <c r="E12" s="376">
        <v>7.76</v>
      </c>
      <c r="F12" s="355">
        <v>60000</v>
      </c>
      <c r="G12" s="350">
        <f t="shared" si="1"/>
        <v>96.15</v>
      </c>
      <c r="H12" s="351">
        <f t="shared" si="2"/>
        <v>746</v>
      </c>
      <c r="I12" s="375">
        <f t="shared" si="0"/>
        <v>746</v>
      </c>
    </row>
    <row r="13" spans="1:11" ht="24.95" customHeight="1">
      <c r="A13" s="353">
        <v>6</v>
      </c>
      <c r="B13" s="354" t="s">
        <v>59</v>
      </c>
      <c r="C13" s="347" t="s">
        <v>55</v>
      </c>
      <c r="D13" s="353">
        <v>60</v>
      </c>
      <c r="E13" s="376">
        <v>1.94</v>
      </c>
      <c r="F13" s="355">
        <v>1400000</v>
      </c>
      <c r="G13" s="350">
        <f t="shared" si="1"/>
        <v>897.44</v>
      </c>
      <c r="H13" s="351">
        <f t="shared" si="2"/>
        <v>1741</v>
      </c>
      <c r="I13" s="388">
        <f t="shared" si="0"/>
        <v>1741</v>
      </c>
    </row>
    <row r="14" spans="1:11" ht="24.95" customHeight="1">
      <c r="A14" s="347">
        <v>7</v>
      </c>
      <c r="B14" s="354" t="s">
        <v>56</v>
      </c>
      <c r="C14" s="347" t="s">
        <v>55</v>
      </c>
      <c r="D14" s="353">
        <v>12</v>
      </c>
      <c r="E14" s="376">
        <v>7.76</v>
      </c>
      <c r="F14" s="355">
        <v>100000</v>
      </c>
      <c r="G14" s="350">
        <f t="shared" si="1"/>
        <v>320.51</v>
      </c>
      <c r="H14" s="351">
        <f t="shared" si="2"/>
        <v>2487</v>
      </c>
      <c r="I14" s="388">
        <f t="shared" si="0"/>
        <v>2487</v>
      </c>
    </row>
    <row r="15" spans="1:11" ht="24.95" customHeight="1">
      <c r="A15" s="353">
        <v>8</v>
      </c>
      <c r="B15" s="354" t="s">
        <v>61</v>
      </c>
      <c r="C15" s="347" t="s">
        <v>55</v>
      </c>
      <c r="D15" s="353">
        <v>36</v>
      </c>
      <c r="E15" s="376">
        <v>1.3</v>
      </c>
      <c r="F15" s="355">
        <v>250000</v>
      </c>
      <c r="G15" s="350">
        <f t="shared" si="1"/>
        <v>267.08999999999997</v>
      </c>
      <c r="H15" s="351">
        <f t="shared" si="2"/>
        <v>347</v>
      </c>
      <c r="I15" s="375">
        <f t="shared" si="0"/>
        <v>347</v>
      </c>
    </row>
    <row r="16" spans="1:11" ht="24.95" customHeight="1">
      <c r="A16" s="347">
        <v>9</v>
      </c>
      <c r="B16" s="354" t="s">
        <v>63</v>
      </c>
      <c r="C16" s="347" t="s">
        <v>55</v>
      </c>
      <c r="D16" s="353">
        <v>36</v>
      </c>
      <c r="E16" s="376">
        <v>1.3</v>
      </c>
      <c r="F16" s="355">
        <v>700000</v>
      </c>
      <c r="G16" s="350">
        <f t="shared" si="1"/>
        <v>747.86</v>
      </c>
      <c r="H16" s="351">
        <f t="shared" si="2"/>
        <v>972</v>
      </c>
      <c r="I16" s="375">
        <f t="shared" si="0"/>
        <v>972</v>
      </c>
    </row>
    <row r="17" spans="1:10" ht="24.95" customHeight="1">
      <c r="A17" s="353">
        <v>10</v>
      </c>
      <c r="B17" s="358" t="s">
        <v>57</v>
      </c>
      <c r="C17" s="359" t="s">
        <v>64</v>
      </c>
      <c r="D17" s="359"/>
      <c r="E17" s="377">
        <v>4.1399999999999997</v>
      </c>
      <c r="F17" s="360">
        <v>1864.44</v>
      </c>
      <c r="G17" s="350"/>
      <c r="H17" s="362">
        <f>I17</f>
        <v>7718.7815999999993</v>
      </c>
      <c r="I17" s="375">
        <f>F17*E17</f>
        <v>7718.7815999999993</v>
      </c>
    </row>
    <row r="18" spans="1:10" ht="21.75" customHeight="1">
      <c r="A18" s="363"/>
      <c r="B18" s="568" t="s">
        <v>285</v>
      </c>
      <c r="C18" s="569"/>
      <c r="D18" s="569"/>
      <c r="E18" s="569"/>
      <c r="F18" s="569"/>
      <c r="G18" s="570"/>
      <c r="H18" s="364">
        <f>SUM(H8:H17)</f>
        <v>22606.781599999998</v>
      </c>
      <c r="I18" s="365">
        <f>SUM(I8:I17)</f>
        <v>22606.781599999998</v>
      </c>
    </row>
    <row r="19" spans="1:10" ht="22.5" customHeight="1">
      <c r="A19" s="363"/>
      <c r="B19" s="568" t="s">
        <v>284</v>
      </c>
      <c r="C19" s="569"/>
      <c r="D19" s="569"/>
      <c r="E19" s="569"/>
      <c r="F19" s="569"/>
      <c r="G19" s="570"/>
      <c r="H19" s="364"/>
      <c r="I19" s="365">
        <f>I18*0.05</f>
        <v>1130.33908</v>
      </c>
    </row>
    <row r="20" spans="1:10" ht="16.5">
      <c r="A20" s="366"/>
      <c r="B20" s="571" t="s">
        <v>65</v>
      </c>
      <c r="C20" s="572"/>
      <c r="D20" s="572"/>
      <c r="E20" s="572"/>
      <c r="F20" s="572"/>
      <c r="G20" s="573"/>
      <c r="H20" s="366"/>
      <c r="I20" s="368">
        <f>I18+I19</f>
        <v>23737.12068</v>
      </c>
      <c r="J20" s="390"/>
    </row>
    <row r="21" spans="1:10" ht="9" customHeight="1">
      <c r="A21" s="323"/>
      <c r="B21" s="323"/>
      <c r="C21" s="323"/>
      <c r="D21" s="323"/>
      <c r="E21" s="323"/>
      <c r="F21" s="324"/>
      <c r="G21" s="323"/>
      <c r="H21" s="323"/>
      <c r="I21" s="323"/>
    </row>
    <row r="22" spans="1:10" ht="18.75" customHeight="1">
      <c r="A22" s="576" t="s">
        <v>143</v>
      </c>
      <c r="B22" s="576"/>
      <c r="C22" s="576"/>
      <c r="D22" s="576"/>
      <c r="E22" s="576"/>
      <c r="F22" s="576"/>
      <c r="G22" s="576"/>
      <c r="H22" s="576"/>
      <c r="I22" s="576"/>
    </row>
    <row r="23" spans="1:10" ht="8.25" customHeight="1">
      <c r="A23" s="323"/>
      <c r="B23" s="323"/>
      <c r="C23" s="323"/>
      <c r="D23" s="323"/>
      <c r="E23" s="323"/>
      <c r="F23" s="324"/>
      <c r="G23" s="323"/>
      <c r="H23" s="323"/>
      <c r="I23" s="323"/>
    </row>
    <row r="24" spans="1:10" ht="26.25" customHeight="1">
      <c r="A24" s="579" t="s">
        <v>144</v>
      </c>
      <c r="B24" s="579"/>
      <c r="C24" s="577" t="s">
        <v>145</v>
      </c>
      <c r="D24" s="577"/>
      <c r="E24" s="577"/>
      <c r="F24" s="389" t="s">
        <v>146</v>
      </c>
      <c r="G24" s="323"/>
      <c r="H24" s="323"/>
      <c r="I24" s="323"/>
    </row>
    <row r="25" spans="1:10" ht="42" customHeight="1">
      <c r="A25" s="580" t="s">
        <v>99</v>
      </c>
      <c r="B25" s="580"/>
      <c r="C25" s="578">
        <v>0.6</v>
      </c>
      <c r="D25" s="578"/>
      <c r="E25" s="578"/>
      <c r="F25" s="327">
        <f>ROUND((I20*C25),0)</f>
        <v>14242</v>
      </c>
      <c r="G25" s="323"/>
      <c r="H25" s="323"/>
      <c r="I25" s="323"/>
    </row>
  </sheetData>
  <mergeCells count="12">
    <mergeCell ref="B20:G20"/>
    <mergeCell ref="A22:I22"/>
    <mergeCell ref="A24:B24"/>
    <mergeCell ref="C24:E24"/>
    <mergeCell ref="A25:B25"/>
    <mergeCell ref="C25:E25"/>
    <mergeCell ref="A1:I1"/>
    <mergeCell ref="A2:D2"/>
    <mergeCell ref="B3:E3"/>
    <mergeCell ref="B4:F4"/>
    <mergeCell ref="B18:G18"/>
    <mergeCell ref="B19:G19"/>
  </mergeCells>
  <printOptions horizontalCentered="1"/>
  <pageMargins left="0.25" right="0.25" top="0.25" bottom="0.25" header="0.3" footer="0.25"/>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6"/>
  <sheetViews>
    <sheetView topLeftCell="A4" workbookViewId="0">
      <selection activeCell="C14" sqref="C14"/>
    </sheetView>
  </sheetViews>
  <sheetFormatPr defaultRowHeight="15"/>
  <cols>
    <col min="1" max="1" width="7.85546875" style="21" customWidth="1"/>
    <col min="2" max="2" width="33.140625" style="21" customWidth="1"/>
    <col min="3" max="3" width="16.140625" style="81" customWidth="1"/>
    <col min="4" max="4" width="17.7109375" style="81" customWidth="1"/>
    <col min="5" max="5" width="13.85546875" style="81" customWidth="1"/>
    <col min="6" max="6" width="17.5703125" style="33" customWidth="1"/>
    <col min="7" max="7" width="18.140625" style="21" customWidth="1"/>
    <col min="8" max="8" width="16.7109375" style="21" hidden="1" customWidth="1"/>
    <col min="9" max="9" width="17.5703125" style="21" customWidth="1"/>
    <col min="10" max="10" width="9.140625" style="21"/>
    <col min="11" max="11" width="9.42578125" style="21" bestFit="1" customWidth="1"/>
    <col min="12" max="16384" width="9.140625" style="21"/>
  </cols>
  <sheetData>
    <row r="1" spans="1:11" ht="20.25" customHeight="1">
      <c r="A1" s="575" t="s">
        <v>349</v>
      </c>
      <c r="B1" s="575"/>
      <c r="C1" s="575"/>
      <c r="D1" s="575"/>
      <c r="E1" s="575"/>
      <c r="F1" s="575"/>
      <c r="G1" s="575"/>
      <c r="H1" s="575"/>
      <c r="I1" s="575"/>
    </row>
    <row r="2" spans="1:11" ht="18.75" customHeight="1">
      <c r="A2" s="576" t="s">
        <v>58</v>
      </c>
      <c r="B2" s="576"/>
      <c r="C2" s="576"/>
      <c r="D2" s="576"/>
      <c r="E2" s="576"/>
      <c r="F2" s="576"/>
      <c r="G2" s="576"/>
      <c r="H2" s="10"/>
      <c r="I2" s="1" t="s">
        <v>91</v>
      </c>
    </row>
    <row r="3" spans="1:11" ht="19.5" customHeight="1">
      <c r="A3" s="217" t="s">
        <v>32</v>
      </c>
      <c r="B3" s="581" t="s">
        <v>45</v>
      </c>
      <c r="C3" s="581"/>
      <c r="D3" s="581"/>
      <c r="E3" s="581"/>
      <c r="F3" s="218"/>
      <c r="G3" s="219"/>
      <c r="H3" s="10"/>
      <c r="I3" s="10"/>
    </row>
    <row r="4" spans="1:11" ht="19.5" customHeight="1">
      <c r="A4" s="217" t="s">
        <v>258</v>
      </c>
      <c r="B4" s="581" t="s">
        <v>100</v>
      </c>
      <c r="C4" s="581"/>
      <c r="D4" s="581"/>
      <c r="E4" s="581"/>
      <c r="F4" s="581"/>
      <c r="G4" s="219"/>
      <c r="H4" s="10"/>
      <c r="I4" s="10"/>
    </row>
    <row r="5" spans="1:11" ht="6" customHeight="1">
      <c r="A5" s="17"/>
      <c r="B5" s="14"/>
      <c r="C5" s="54"/>
      <c r="D5" s="117"/>
      <c r="E5" s="118"/>
      <c r="F5" s="28"/>
      <c r="G5" s="12"/>
      <c r="H5" s="12"/>
      <c r="I5" s="12"/>
    </row>
    <row r="6" spans="1:11" ht="66">
      <c r="A6" s="386" t="s">
        <v>46</v>
      </c>
      <c r="B6" s="341" t="s">
        <v>47</v>
      </c>
      <c r="C6" s="341" t="s">
        <v>48</v>
      </c>
      <c r="D6" s="341" t="s">
        <v>253</v>
      </c>
      <c r="E6" s="342" t="s">
        <v>140</v>
      </c>
      <c r="F6" s="343" t="s">
        <v>49</v>
      </c>
      <c r="G6" s="342" t="s">
        <v>50</v>
      </c>
      <c r="H6" s="342" t="s">
        <v>51</v>
      </c>
      <c r="I6" s="342" t="s">
        <v>141</v>
      </c>
    </row>
    <row r="7" spans="1:11" ht="21" customHeight="1">
      <c r="A7" s="344" t="s">
        <v>7</v>
      </c>
      <c r="B7" s="344" t="s">
        <v>8</v>
      </c>
      <c r="C7" s="344" t="s">
        <v>9</v>
      </c>
      <c r="D7" s="344" t="s">
        <v>21</v>
      </c>
      <c r="E7" s="344" t="s">
        <v>52</v>
      </c>
      <c r="F7" s="345" t="s">
        <v>22</v>
      </c>
      <c r="G7" s="346" t="s">
        <v>217</v>
      </c>
      <c r="H7" s="346" t="s">
        <v>53</v>
      </c>
      <c r="I7" s="346" t="s">
        <v>218</v>
      </c>
    </row>
    <row r="8" spans="1:11" ht="24.95" customHeight="1">
      <c r="A8" s="347">
        <v>1</v>
      </c>
      <c r="B8" s="348" t="s">
        <v>54</v>
      </c>
      <c r="C8" s="347" t="s">
        <v>55</v>
      </c>
      <c r="D8" s="347">
        <v>60</v>
      </c>
      <c r="E8" s="373">
        <v>186.78</v>
      </c>
      <c r="F8" s="349">
        <v>800000</v>
      </c>
      <c r="G8" s="374">
        <f>ROUND((F8/(D8*26)),2)</f>
        <v>512.82000000000005</v>
      </c>
      <c r="H8" s="375">
        <f>I8</f>
        <v>95785</v>
      </c>
      <c r="I8" s="374">
        <f t="shared" ref="I8:I17" si="0">ROUND(E8*G8,0)</f>
        <v>95785</v>
      </c>
      <c r="K8" s="46"/>
    </row>
    <row r="9" spans="1:11" ht="24.95" customHeight="1">
      <c r="A9" s="353">
        <v>2</v>
      </c>
      <c r="B9" s="354" t="s">
        <v>138</v>
      </c>
      <c r="C9" s="347" t="s">
        <v>55</v>
      </c>
      <c r="D9" s="353">
        <v>60</v>
      </c>
      <c r="E9" s="373">
        <v>186.78</v>
      </c>
      <c r="F9" s="355">
        <v>300000</v>
      </c>
      <c r="G9" s="374">
        <f t="shared" ref="G9:G17" si="1">ROUND((F9/(D9*26)),2)</f>
        <v>192.31</v>
      </c>
      <c r="H9" s="375">
        <f t="shared" ref="H9:H17" si="2">I9</f>
        <v>35920</v>
      </c>
      <c r="I9" s="375">
        <f t="shared" si="0"/>
        <v>35920</v>
      </c>
    </row>
    <row r="10" spans="1:11" ht="24.95" customHeight="1">
      <c r="A10" s="347">
        <v>3</v>
      </c>
      <c r="B10" s="354" t="s">
        <v>139</v>
      </c>
      <c r="C10" s="347" t="s">
        <v>55</v>
      </c>
      <c r="D10" s="353">
        <v>12</v>
      </c>
      <c r="E10" s="376">
        <v>38.51</v>
      </c>
      <c r="F10" s="355">
        <v>160000</v>
      </c>
      <c r="G10" s="374">
        <f t="shared" si="1"/>
        <v>512.82000000000005</v>
      </c>
      <c r="H10" s="375">
        <f t="shared" si="2"/>
        <v>19749</v>
      </c>
      <c r="I10" s="388">
        <f t="shared" si="0"/>
        <v>19749</v>
      </c>
    </row>
    <row r="11" spans="1:11" ht="24.95" customHeight="1">
      <c r="A11" s="353">
        <v>4</v>
      </c>
      <c r="B11" s="354" t="s">
        <v>59</v>
      </c>
      <c r="C11" s="347" t="s">
        <v>55</v>
      </c>
      <c r="D11" s="353">
        <v>60</v>
      </c>
      <c r="E11" s="376">
        <v>46.7</v>
      </c>
      <c r="F11" s="355">
        <v>1400000</v>
      </c>
      <c r="G11" s="374">
        <f t="shared" si="1"/>
        <v>897.44</v>
      </c>
      <c r="H11" s="375">
        <f t="shared" si="2"/>
        <v>41910</v>
      </c>
      <c r="I11" s="388">
        <f t="shared" si="0"/>
        <v>41910</v>
      </c>
    </row>
    <row r="12" spans="1:11" ht="24.95" customHeight="1">
      <c r="A12" s="347">
        <v>5</v>
      </c>
      <c r="B12" s="354" t="s">
        <v>56</v>
      </c>
      <c r="C12" s="347" t="s">
        <v>55</v>
      </c>
      <c r="D12" s="353">
        <v>12</v>
      </c>
      <c r="E12" s="376">
        <v>46.7</v>
      </c>
      <c r="F12" s="355">
        <v>100000</v>
      </c>
      <c r="G12" s="374">
        <f t="shared" si="1"/>
        <v>320.51</v>
      </c>
      <c r="H12" s="375">
        <f t="shared" si="2"/>
        <v>14968</v>
      </c>
      <c r="I12" s="388">
        <f t="shared" si="0"/>
        <v>14968</v>
      </c>
    </row>
    <row r="13" spans="1:11" ht="24.95" customHeight="1">
      <c r="A13" s="353">
        <v>6</v>
      </c>
      <c r="B13" s="354" t="s">
        <v>147</v>
      </c>
      <c r="C13" s="347" t="s">
        <v>55</v>
      </c>
      <c r="D13" s="353">
        <v>24</v>
      </c>
      <c r="E13" s="376">
        <v>46.7</v>
      </c>
      <c r="F13" s="355">
        <v>129000</v>
      </c>
      <c r="G13" s="374">
        <f t="shared" si="1"/>
        <v>206.73</v>
      </c>
      <c r="H13" s="375"/>
      <c r="I13" s="388">
        <f t="shared" si="0"/>
        <v>9654</v>
      </c>
    </row>
    <row r="14" spans="1:11" ht="24.95" customHeight="1">
      <c r="A14" s="347">
        <v>7</v>
      </c>
      <c r="B14" s="354" t="s">
        <v>148</v>
      </c>
      <c r="C14" s="347" t="s">
        <v>55</v>
      </c>
      <c r="D14" s="353">
        <v>48</v>
      </c>
      <c r="E14" s="376">
        <v>46.7</v>
      </c>
      <c r="F14" s="355">
        <v>160000</v>
      </c>
      <c r="G14" s="374">
        <f t="shared" si="1"/>
        <v>128.21</v>
      </c>
      <c r="H14" s="375"/>
      <c r="I14" s="388">
        <f t="shared" si="0"/>
        <v>5987</v>
      </c>
    </row>
    <row r="15" spans="1:11" ht="24.95" customHeight="1">
      <c r="A15" s="353">
        <v>8</v>
      </c>
      <c r="B15" s="354" t="s">
        <v>62</v>
      </c>
      <c r="C15" s="347" t="s">
        <v>55</v>
      </c>
      <c r="D15" s="353">
        <v>24</v>
      </c>
      <c r="E15" s="376">
        <v>186.78</v>
      </c>
      <c r="F15" s="355">
        <v>60000</v>
      </c>
      <c r="G15" s="374">
        <f>ROUND((F15/(D15*26)),2)</f>
        <v>96.15</v>
      </c>
      <c r="H15" s="375">
        <f>I15</f>
        <v>17959</v>
      </c>
      <c r="I15" s="375">
        <f>ROUND(E15*G15,0)</f>
        <v>17959</v>
      </c>
    </row>
    <row r="16" spans="1:11" ht="24.95" customHeight="1">
      <c r="A16" s="347">
        <v>9</v>
      </c>
      <c r="B16" s="354" t="s">
        <v>61</v>
      </c>
      <c r="C16" s="347" t="s">
        <v>55</v>
      </c>
      <c r="D16" s="353">
        <v>36</v>
      </c>
      <c r="E16" s="376">
        <v>31.28</v>
      </c>
      <c r="F16" s="355">
        <v>250000</v>
      </c>
      <c r="G16" s="374">
        <f t="shared" si="1"/>
        <v>267.08999999999997</v>
      </c>
      <c r="H16" s="375">
        <f t="shared" si="2"/>
        <v>8355</v>
      </c>
      <c r="I16" s="375">
        <f t="shared" si="0"/>
        <v>8355</v>
      </c>
    </row>
    <row r="17" spans="1:10" ht="24.95" customHeight="1">
      <c r="A17" s="353">
        <v>10</v>
      </c>
      <c r="B17" s="354" t="s">
        <v>63</v>
      </c>
      <c r="C17" s="347" t="s">
        <v>55</v>
      </c>
      <c r="D17" s="353">
        <v>36</v>
      </c>
      <c r="E17" s="376">
        <v>31.28</v>
      </c>
      <c r="F17" s="355">
        <v>700000</v>
      </c>
      <c r="G17" s="374">
        <f t="shared" si="1"/>
        <v>747.86</v>
      </c>
      <c r="H17" s="375">
        <f t="shared" si="2"/>
        <v>23393</v>
      </c>
      <c r="I17" s="375">
        <f t="shared" si="0"/>
        <v>23393</v>
      </c>
    </row>
    <row r="18" spans="1:10" ht="24.95" customHeight="1">
      <c r="A18" s="347">
        <v>11</v>
      </c>
      <c r="B18" s="358" t="s">
        <v>57</v>
      </c>
      <c r="C18" s="359" t="s">
        <v>64</v>
      </c>
      <c r="D18" s="359"/>
      <c r="E18" s="377">
        <v>99.54</v>
      </c>
      <c r="F18" s="360">
        <v>1864.44</v>
      </c>
      <c r="G18" s="374"/>
      <c r="H18" s="378">
        <f>I18</f>
        <v>185586.35760000002</v>
      </c>
      <c r="I18" s="375">
        <f>F18*E18</f>
        <v>185586.35760000002</v>
      </c>
    </row>
    <row r="19" spans="1:10" ht="30" customHeight="1">
      <c r="A19" s="363"/>
      <c r="B19" s="568" t="s">
        <v>285</v>
      </c>
      <c r="C19" s="569"/>
      <c r="D19" s="569"/>
      <c r="E19" s="569"/>
      <c r="F19" s="569"/>
      <c r="G19" s="570"/>
      <c r="H19" s="364">
        <f>SUM(H8:H18)</f>
        <v>443625.35759999999</v>
      </c>
      <c r="I19" s="365">
        <f>SUM(I8:I18)</f>
        <v>459266.35759999999</v>
      </c>
    </row>
    <row r="20" spans="1:10" ht="21" customHeight="1">
      <c r="A20" s="379"/>
      <c r="B20" s="571" t="s">
        <v>284</v>
      </c>
      <c r="C20" s="572"/>
      <c r="D20" s="572"/>
      <c r="E20" s="572"/>
      <c r="F20" s="572"/>
      <c r="G20" s="573"/>
      <c r="H20" s="379"/>
      <c r="I20" s="368">
        <f>I19*0.05</f>
        <v>22963.317880000002</v>
      </c>
    </row>
    <row r="21" spans="1:10" ht="24" customHeight="1">
      <c r="A21" s="379"/>
      <c r="B21" s="571" t="s">
        <v>65</v>
      </c>
      <c r="C21" s="572"/>
      <c r="D21" s="572"/>
      <c r="E21" s="572"/>
      <c r="F21" s="572"/>
      <c r="G21" s="573"/>
      <c r="H21" s="379"/>
      <c r="I21" s="368">
        <f>I19+I20</f>
        <v>482229.67547999998</v>
      </c>
      <c r="J21" s="390"/>
    </row>
    <row r="22" spans="1:10" ht="18.75" customHeight="1"/>
    <row r="23" spans="1:10" ht="27" customHeight="1">
      <c r="A23" s="576" t="s">
        <v>149</v>
      </c>
      <c r="B23" s="576"/>
      <c r="C23" s="576"/>
      <c r="D23" s="576"/>
      <c r="E23" s="576"/>
      <c r="F23" s="576"/>
      <c r="G23" s="576"/>
      <c r="H23" s="576"/>
      <c r="I23" s="576"/>
    </row>
    <row r="25" spans="1:10" ht="47.25">
      <c r="A25" s="124" t="s">
        <v>161</v>
      </c>
      <c r="B25" s="134" t="s">
        <v>144</v>
      </c>
      <c r="C25" s="127" t="s">
        <v>145</v>
      </c>
      <c r="D25" s="264" t="s">
        <v>280</v>
      </c>
      <c r="E25" s="124" t="s">
        <v>146</v>
      </c>
      <c r="F25" s="21"/>
    </row>
    <row r="26" spans="1:10" ht="31.5">
      <c r="A26" s="123"/>
      <c r="B26" s="257" t="s">
        <v>100</v>
      </c>
      <c r="C26" s="428">
        <v>0.53200000000000003</v>
      </c>
      <c r="D26" s="266">
        <v>1</v>
      </c>
      <c r="E26" s="128">
        <f>ROUND((I$21*C26*D26),0)</f>
        <v>256546</v>
      </c>
      <c r="F26" s="21"/>
    </row>
    <row r="27" spans="1:10" ht="18.75" customHeight="1">
      <c r="A27" s="264">
        <v>1</v>
      </c>
      <c r="B27" s="430" t="s">
        <v>101</v>
      </c>
      <c r="C27" s="428">
        <v>1.2E-2</v>
      </c>
      <c r="D27" s="266">
        <v>1</v>
      </c>
      <c r="E27" s="128">
        <f t="shared" ref="E27:E44" si="3">ROUND((I$21*C27*D27),0)</f>
        <v>5787</v>
      </c>
      <c r="F27" s="21"/>
    </row>
    <row r="28" spans="1:10" ht="18.75" customHeight="1">
      <c r="A28" s="122" t="s">
        <v>129</v>
      </c>
      <c r="B28" s="429" t="s">
        <v>225</v>
      </c>
      <c r="C28" s="428">
        <v>1.2E-2</v>
      </c>
      <c r="D28" s="266">
        <v>1</v>
      </c>
      <c r="E28" s="128">
        <f t="shared" si="3"/>
        <v>5787</v>
      </c>
      <c r="F28" s="21"/>
    </row>
    <row r="29" spans="1:10" ht="18.75" customHeight="1">
      <c r="A29" s="122" t="s">
        <v>130</v>
      </c>
      <c r="B29" s="429" t="s">
        <v>226</v>
      </c>
      <c r="C29" s="428">
        <v>1.2E-2</v>
      </c>
      <c r="D29" s="266">
        <v>0.5</v>
      </c>
      <c r="E29" s="128">
        <f t="shared" si="3"/>
        <v>2893</v>
      </c>
      <c r="F29" s="21"/>
    </row>
    <row r="30" spans="1:10" ht="18.75" customHeight="1">
      <c r="A30" s="122" t="s">
        <v>131</v>
      </c>
      <c r="B30" s="429" t="s">
        <v>227</v>
      </c>
      <c r="C30" s="428">
        <v>1.2E-2</v>
      </c>
      <c r="D30" s="266">
        <v>0.6</v>
      </c>
      <c r="E30" s="128">
        <f t="shared" si="3"/>
        <v>3472</v>
      </c>
      <c r="F30" s="21"/>
    </row>
    <row r="31" spans="1:10" ht="18.75" customHeight="1">
      <c r="A31" s="122" t="s">
        <v>132</v>
      </c>
      <c r="B31" s="429" t="s">
        <v>228</v>
      </c>
      <c r="C31" s="428">
        <v>1.2E-2</v>
      </c>
      <c r="D31" s="266">
        <v>0.7</v>
      </c>
      <c r="E31" s="128">
        <f t="shared" si="3"/>
        <v>4051</v>
      </c>
      <c r="F31" s="21"/>
    </row>
    <row r="32" spans="1:10" ht="18.75" customHeight="1">
      <c r="A32" s="122" t="s">
        <v>230</v>
      </c>
      <c r="B32" s="429" t="s">
        <v>229</v>
      </c>
      <c r="C32" s="428">
        <v>1.2E-2</v>
      </c>
      <c r="D32" s="266">
        <v>0.5</v>
      </c>
      <c r="E32" s="128">
        <f t="shared" si="3"/>
        <v>2893</v>
      </c>
      <c r="F32" s="21"/>
    </row>
    <row r="33" spans="1:6" ht="18.75" customHeight="1">
      <c r="A33" s="264">
        <v>2</v>
      </c>
      <c r="B33" s="430" t="s">
        <v>102</v>
      </c>
      <c r="C33" s="428">
        <v>0.22700000000000001</v>
      </c>
      <c r="D33" s="266">
        <v>1</v>
      </c>
      <c r="E33" s="128">
        <f t="shared" si="3"/>
        <v>109466</v>
      </c>
      <c r="F33" s="21"/>
    </row>
    <row r="34" spans="1:6" ht="18.75" customHeight="1">
      <c r="A34" s="122" t="s">
        <v>32</v>
      </c>
      <c r="B34" s="271" t="s">
        <v>103</v>
      </c>
      <c r="C34" s="428">
        <v>2.5000000000000001E-2</v>
      </c>
      <c r="D34" s="266">
        <v>1</v>
      </c>
      <c r="E34" s="128">
        <f t="shared" si="3"/>
        <v>12056</v>
      </c>
      <c r="F34" s="21"/>
    </row>
    <row r="35" spans="1:6" ht="18.75" customHeight="1">
      <c r="A35" s="122" t="s">
        <v>33</v>
      </c>
      <c r="B35" s="271" t="s">
        <v>104</v>
      </c>
      <c r="C35" s="428">
        <v>7.5999999999999998E-2</v>
      </c>
      <c r="D35" s="266">
        <v>1</v>
      </c>
      <c r="E35" s="128">
        <f t="shared" si="3"/>
        <v>36649</v>
      </c>
      <c r="F35" s="21"/>
    </row>
    <row r="36" spans="1:6" ht="18.75" customHeight="1">
      <c r="A36" s="122" t="s">
        <v>34</v>
      </c>
      <c r="B36" s="271" t="s">
        <v>105</v>
      </c>
      <c r="C36" s="428">
        <v>9.6000000000000002E-2</v>
      </c>
      <c r="D36" s="266">
        <v>1</v>
      </c>
      <c r="E36" s="128">
        <f t="shared" si="3"/>
        <v>46294</v>
      </c>
      <c r="F36" s="21"/>
    </row>
    <row r="37" spans="1:6" ht="18.75" customHeight="1">
      <c r="A37" s="122" t="s">
        <v>35</v>
      </c>
      <c r="B37" s="271" t="s">
        <v>106</v>
      </c>
      <c r="C37" s="428">
        <v>1.4999999999999999E-2</v>
      </c>
      <c r="D37" s="266">
        <v>1</v>
      </c>
      <c r="E37" s="128">
        <f t="shared" si="3"/>
        <v>7233</v>
      </c>
      <c r="F37" s="21"/>
    </row>
    <row r="38" spans="1:6" ht="18.75" customHeight="1">
      <c r="A38" s="122" t="s">
        <v>36</v>
      </c>
      <c r="B38" s="271" t="s">
        <v>107</v>
      </c>
      <c r="C38" s="428">
        <v>1.4999999999999999E-2</v>
      </c>
      <c r="D38" s="266">
        <v>1</v>
      </c>
      <c r="E38" s="128">
        <f t="shared" si="3"/>
        <v>7233</v>
      </c>
      <c r="F38" s="21"/>
    </row>
    <row r="39" spans="1:6" ht="18.75" customHeight="1">
      <c r="A39" s="264">
        <v>3</v>
      </c>
      <c r="B39" s="430" t="s">
        <v>108</v>
      </c>
      <c r="C39" s="428">
        <v>0.29299999999999998</v>
      </c>
      <c r="D39" s="266">
        <v>1</v>
      </c>
      <c r="E39" s="128">
        <f t="shared" si="3"/>
        <v>141293</v>
      </c>
      <c r="F39" s="390">
        <f>J$21*0.33</f>
        <v>0</v>
      </c>
    </row>
    <row r="40" spans="1:6" ht="18.75" customHeight="1">
      <c r="A40" s="122" t="s">
        <v>40</v>
      </c>
      <c r="B40" s="271" t="s">
        <v>103</v>
      </c>
      <c r="C40" s="428">
        <v>0.04</v>
      </c>
      <c r="D40" s="266">
        <v>1</v>
      </c>
      <c r="E40" s="128">
        <f t="shared" si="3"/>
        <v>19289</v>
      </c>
      <c r="F40" s="390">
        <f>J$21*0.045</f>
        <v>0</v>
      </c>
    </row>
    <row r="41" spans="1:6" ht="18.75" customHeight="1">
      <c r="A41" s="122" t="s">
        <v>41</v>
      </c>
      <c r="B41" s="271" t="s">
        <v>104</v>
      </c>
      <c r="C41" s="428">
        <v>9.0999999999999998E-2</v>
      </c>
      <c r="D41" s="266">
        <v>1</v>
      </c>
      <c r="E41" s="128">
        <f t="shared" si="3"/>
        <v>43883</v>
      </c>
      <c r="F41" s="390">
        <f>J$21*0.102</f>
        <v>0</v>
      </c>
    </row>
    <row r="42" spans="1:6" ht="18.75" customHeight="1">
      <c r="A42" s="122" t="s">
        <v>162</v>
      </c>
      <c r="B42" s="271" t="s">
        <v>105</v>
      </c>
      <c r="C42" s="428">
        <v>0.112</v>
      </c>
      <c r="D42" s="266">
        <v>1</v>
      </c>
      <c r="E42" s="128">
        <f t="shared" si="3"/>
        <v>54010</v>
      </c>
      <c r="F42" s="390">
        <f>J$21*0.126</f>
        <v>0</v>
      </c>
    </row>
    <row r="43" spans="1:6" ht="18.75" customHeight="1">
      <c r="A43" s="122" t="s">
        <v>163</v>
      </c>
      <c r="B43" s="271" t="s">
        <v>106</v>
      </c>
      <c r="C43" s="428">
        <v>2.5000000000000001E-2</v>
      </c>
      <c r="D43" s="266">
        <v>1</v>
      </c>
      <c r="E43" s="128">
        <f t="shared" si="3"/>
        <v>12056</v>
      </c>
      <c r="F43" s="390">
        <f>J$21*0.29</f>
        <v>0</v>
      </c>
    </row>
    <row r="44" spans="1:6" ht="18.75" customHeight="1">
      <c r="A44" s="122" t="s">
        <v>164</v>
      </c>
      <c r="B44" s="271" t="s">
        <v>107</v>
      </c>
      <c r="C44" s="428">
        <v>2.5000000000000001E-2</v>
      </c>
      <c r="D44" s="266">
        <v>1</v>
      </c>
      <c r="E44" s="128">
        <f t="shared" si="3"/>
        <v>12056</v>
      </c>
      <c r="F44" s="390">
        <f>J$21*0.028</f>
        <v>0</v>
      </c>
    </row>
    <row r="46" spans="1:6">
      <c r="E46" s="408">
        <f>E40+E41+E42+E43+E44</f>
        <v>141294</v>
      </c>
    </row>
  </sheetData>
  <mergeCells count="8">
    <mergeCell ref="A23:I23"/>
    <mergeCell ref="A2:G2"/>
    <mergeCell ref="B19:G19"/>
    <mergeCell ref="A1:I1"/>
    <mergeCell ref="B3:E3"/>
    <mergeCell ref="B4:F4"/>
    <mergeCell ref="B20:G20"/>
    <mergeCell ref="B21:G21"/>
  </mergeCells>
  <printOptions horizontalCentered="1"/>
  <pageMargins left="0.25" right="0.25" top="0.25" bottom="0.25" header="0.3" footer="0.25"/>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8"/>
  <sheetViews>
    <sheetView zoomScaleNormal="100" workbookViewId="0">
      <selection activeCell="D7" sqref="D7"/>
    </sheetView>
  </sheetViews>
  <sheetFormatPr defaultRowHeight="15"/>
  <cols>
    <col min="1" max="1" width="7.85546875" style="21" customWidth="1"/>
    <col min="2" max="2" width="41.140625" style="21" customWidth="1"/>
    <col min="3" max="3" width="18.140625" style="81" customWidth="1"/>
    <col min="4" max="4" width="19.85546875" style="81" customWidth="1"/>
    <col min="5" max="5" width="13.5703125" style="81" customWidth="1"/>
    <col min="6" max="6" width="15.5703125" style="33" customWidth="1"/>
    <col min="7" max="7" width="17.5703125" style="21" customWidth="1"/>
    <col min="8" max="8" width="16.7109375" style="21" hidden="1" customWidth="1"/>
    <col min="9" max="9" width="18.5703125" style="21" customWidth="1"/>
    <col min="10" max="10" width="9.140625" style="21"/>
    <col min="11" max="11" width="9.42578125" style="21" bestFit="1" customWidth="1"/>
    <col min="12" max="16384" width="9.140625" style="21"/>
  </cols>
  <sheetData>
    <row r="1" spans="1:11" ht="24.75" customHeight="1">
      <c r="A1" s="575" t="s">
        <v>349</v>
      </c>
      <c r="B1" s="575"/>
      <c r="C1" s="575"/>
      <c r="D1" s="575"/>
      <c r="E1" s="575"/>
      <c r="F1" s="575"/>
      <c r="G1" s="575"/>
      <c r="H1" s="575"/>
      <c r="I1" s="575"/>
    </row>
    <row r="2" spans="1:11" ht="20.25" customHeight="1">
      <c r="A2" s="576" t="s">
        <v>255</v>
      </c>
      <c r="B2" s="576"/>
      <c r="C2" s="576"/>
      <c r="D2" s="576"/>
      <c r="E2" s="576"/>
      <c r="F2" s="576"/>
      <c r="G2" s="10"/>
      <c r="H2" s="10"/>
      <c r="I2" s="1" t="s">
        <v>92</v>
      </c>
    </row>
    <row r="3" spans="1:11" ht="19.5" customHeight="1">
      <c r="A3" s="217" t="s">
        <v>32</v>
      </c>
      <c r="B3" s="581" t="s">
        <v>45</v>
      </c>
      <c r="C3" s="581"/>
      <c r="D3" s="581"/>
      <c r="E3" s="581"/>
      <c r="F3" s="218"/>
      <c r="G3" s="10"/>
      <c r="H3" s="10"/>
      <c r="I3" s="10"/>
    </row>
    <row r="4" spans="1:11" ht="19.5" customHeight="1">
      <c r="A4" s="217" t="s">
        <v>259</v>
      </c>
      <c r="B4" s="581" t="s">
        <v>109</v>
      </c>
      <c r="C4" s="581"/>
      <c r="D4" s="581"/>
      <c r="E4" s="581"/>
      <c r="F4" s="581"/>
      <c r="G4" s="10"/>
      <c r="H4" s="10"/>
      <c r="I4" s="10"/>
    </row>
    <row r="5" spans="1:11" ht="18.75" customHeight="1">
      <c r="A5" s="17"/>
      <c r="B5" s="14"/>
      <c r="C5" s="54"/>
      <c r="D5" s="117"/>
      <c r="E5" s="118"/>
      <c r="F5" s="28"/>
      <c r="G5" s="12"/>
      <c r="H5" s="12"/>
      <c r="I5" s="12"/>
    </row>
    <row r="6" spans="1:11" ht="78" customHeight="1">
      <c r="A6" s="56" t="s">
        <v>46</v>
      </c>
      <c r="B6" s="56" t="s">
        <v>47</v>
      </c>
      <c r="C6" s="56" t="s">
        <v>48</v>
      </c>
      <c r="D6" s="56" t="s">
        <v>253</v>
      </c>
      <c r="E6" s="57" t="s">
        <v>140</v>
      </c>
      <c r="F6" s="126" t="s">
        <v>49</v>
      </c>
      <c r="G6" s="57" t="s">
        <v>50</v>
      </c>
      <c r="H6" s="57" t="s">
        <v>51</v>
      </c>
      <c r="I6" s="57" t="s">
        <v>141</v>
      </c>
    </row>
    <row r="7" spans="1:11" ht="21" customHeight="1">
      <c r="A7" s="24" t="s">
        <v>7</v>
      </c>
      <c r="B7" s="24" t="s">
        <v>8</v>
      </c>
      <c r="C7" s="24" t="s">
        <v>9</v>
      </c>
      <c r="D7" s="24" t="s">
        <v>21</v>
      </c>
      <c r="E7" s="24" t="s">
        <v>52</v>
      </c>
      <c r="F7" s="29" t="s">
        <v>22</v>
      </c>
      <c r="G7" s="25" t="s">
        <v>217</v>
      </c>
      <c r="H7" s="25" t="s">
        <v>53</v>
      </c>
      <c r="I7" s="25" t="s">
        <v>142</v>
      </c>
    </row>
    <row r="8" spans="1:11" ht="24.95" customHeight="1">
      <c r="A8" s="48">
        <v>1</v>
      </c>
      <c r="B8" s="49" t="s">
        <v>54</v>
      </c>
      <c r="C8" s="48" t="s">
        <v>55</v>
      </c>
      <c r="D8" s="48">
        <v>60</v>
      </c>
      <c r="E8" s="497">
        <v>1091.4000000000001</v>
      </c>
      <c r="F8" s="31">
        <v>800000</v>
      </c>
      <c r="G8" s="173">
        <f>ROUND((F8/(D8*26)),2)</f>
        <v>512.82000000000005</v>
      </c>
      <c r="H8" s="15">
        <f>I8</f>
        <v>559692</v>
      </c>
      <c r="I8" s="113">
        <f>ROUND(E8*G8,0)</f>
        <v>559692</v>
      </c>
      <c r="K8" s="46"/>
    </row>
    <row r="9" spans="1:11" ht="24.95" customHeight="1">
      <c r="A9" s="50">
        <v>2</v>
      </c>
      <c r="B9" s="51" t="s">
        <v>138</v>
      </c>
      <c r="C9" s="48" t="s">
        <v>55</v>
      </c>
      <c r="D9" s="50">
        <v>60</v>
      </c>
      <c r="E9" s="497">
        <v>1091.4000000000001</v>
      </c>
      <c r="F9" s="30">
        <v>300000</v>
      </c>
      <c r="G9" s="173">
        <f t="shared" ref="G9:G17" si="0">ROUND((F9/(D9*26)),2)</f>
        <v>192.31</v>
      </c>
      <c r="H9" s="15">
        <f t="shared" ref="H9:H17" si="1">I9</f>
        <v>209887</v>
      </c>
      <c r="I9" s="114">
        <f t="shared" ref="I9:I17" si="2">ROUND(E9*G9,0)</f>
        <v>209887</v>
      </c>
    </row>
    <row r="10" spans="1:11" ht="24.95" customHeight="1">
      <c r="A10" s="48">
        <v>3</v>
      </c>
      <c r="B10" s="51" t="s">
        <v>139</v>
      </c>
      <c r="C10" s="48" t="s">
        <v>55</v>
      </c>
      <c r="D10" s="50">
        <v>12</v>
      </c>
      <c r="E10" s="498">
        <v>956.85</v>
      </c>
      <c r="F10" s="30">
        <v>160000</v>
      </c>
      <c r="G10" s="173">
        <f t="shared" si="0"/>
        <v>512.82000000000005</v>
      </c>
      <c r="H10" s="15">
        <f t="shared" si="1"/>
        <v>490692</v>
      </c>
      <c r="I10" s="115">
        <f t="shared" si="2"/>
        <v>490692</v>
      </c>
    </row>
    <row r="11" spans="1:11" ht="24.95" customHeight="1">
      <c r="A11" s="50">
        <v>4</v>
      </c>
      <c r="B11" s="51" t="s">
        <v>59</v>
      </c>
      <c r="C11" s="48" t="s">
        <v>55</v>
      </c>
      <c r="D11" s="50">
        <v>60</v>
      </c>
      <c r="E11" s="498">
        <v>272.85000000000002</v>
      </c>
      <c r="F11" s="30">
        <v>1400000</v>
      </c>
      <c r="G11" s="173">
        <f t="shared" si="0"/>
        <v>897.44</v>
      </c>
      <c r="H11" s="15">
        <f>I11</f>
        <v>244867</v>
      </c>
      <c r="I11" s="115">
        <f>ROUND(E11*G11,0)</f>
        <v>244867</v>
      </c>
    </row>
    <row r="12" spans="1:11" ht="24.95" customHeight="1">
      <c r="A12" s="48">
        <v>5</v>
      </c>
      <c r="B12" s="51" t="s">
        <v>56</v>
      </c>
      <c r="C12" s="48" t="s">
        <v>55</v>
      </c>
      <c r="D12" s="50">
        <v>12</v>
      </c>
      <c r="E12" s="498">
        <v>363.8</v>
      </c>
      <c r="F12" s="30">
        <v>100000</v>
      </c>
      <c r="G12" s="173">
        <f t="shared" si="0"/>
        <v>320.51</v>
      </c>
      <c r="H12" s="15">
        <f>I12</f>
        <v>116602</v>
      </c>
      <c r="I12" s="115">
        <f>ROUND(E12*G12,0)</f>
        <v>116602</v>
      </c>
    </row>
    <row r="13" spans="1:11" ht="24.95" customHeight="1">
      <c r="A13" s="50">
        <v>6</v>
      </c>
      <c r="B13" s="51" t="s">
        <v>150</v>
      </c>
      <c r="C13" s="48" t="s">
        <v>55</v>
      </c>
      <c r="D13" s="50">
        <v>24</v>
      </c>
      <c r="E13" s="498">
        <v>1</v>
      </c>
      <c r="F13" s="30">
        <v>129000</v>
      </c>
      <c r="G13" s="173">
        <f t="shared" si="0"/>
        <v>206.73</v>
      </c>
      <c r="H13" s="15"/>
      <c r="I13" s="115">
        <f>ROUND(E13*G13,0)</f>
        <v>207</v>
      </c>
    </row>
    <row r="14" spans="1:11" ht="24.95" customHeight="1">
      <c r="A14" s="48">
        <v>7</v>
      </c>
      <c r="B14" s="51" t="s">
        <v>148</v>
      </c>
      <c r="C14" s="48" t="s">
        <v>55</v>
      </c>
      <c r="D14" s="50">
        <v>48</v>
      </c>
      <c r="E14" s="498">
        <v>272.85000000000002</v>
      </c>
      <c r="F14" s="30">
        <v>160000</v>
      </c>
      <c r="G14" s="173">
        <f t="shared" si="0"/>
        <v>128.21</v>
      </c>
      <c r="H14" s="15"/>
      <c r="I14" s="115">
        <f>ROUND(E14*G14,0)</f>
        <v>34982</v>
      </c>
    </row>
    <row r="15" spans="1:11" ht="24.95" customHeight="1">
      <c r="A15" s="50">
        <v>8</v>
      </c>
      <c r="B15" s="51" t="s">
        <v>62</v>
      </c>
      <c r="C15" s="48" t="s">
        <v>55</v>
      </c>
      <c r="D15" s="50">
        <v>24</v>
      </c>
      <c r="E15" s="498">
        <v>1091.4000000000001</v>
      </c>
      <c r="F15" s="30">
        <v>60000</v>
      </c>
      <c r="G15" s="173">
        <f t="shared" si="0"/>
        <v>96.15</v>
      </c>
      <c r="H15" s="15">
        <f t="shared" si="1"/>
        <v>104938</v>
      </c>
      <c r="I15" s="114">
        <f t="shared" si="2"/>
        <v>104938</v>
      </c>
    </row>
    <row r="16" spans="1:11" ht="24.95" customHeight="1">
      <c r="A16" s="48">
        <v>9</v>
      </c>
      <c r="B16" s="51" t="s">
        <v>61</v>
      </c>
      <c r="C16" s="48" t="s">
        <v>55</v>
      </c>
      <c r="D16" s="50">
        <v>36</v>
      </c>
      <c r="E16" s="498">
        <v>182.81</v>
      </c>
      <c r="F16" s="30">
        <v>250000</v>
      </c>
      <c r="G16" s="173">
        <f t="shared" si="0"/>
        <v>267.08999999999997</v>
      </c>
      <c r="H16" s="15">
        <f t="shared" si="1"/>
        <v>48827</v>
      </c>
      <c r="I16" s="114">
        <f t="shared" si="2"/>
        <v>48827</v>
      </c>
    </row>
    <row r="17" spans="1:10" ht="24.95" customHeight="1">
      <c r="A17" s="50">
        <v>10</v>
      </c>
      <c r="B17" s="51" t="s">
        <v>63</v>
      </c>
      <c r="C17" s="48" t="s">
        <v>55</v>
      </c>
      <c r="D17" s="50">
        <v>36</v>
      </c>
      <c r="E17" s="498">
        <v>182.81</v>
      </c>
      <c r="F17" s="30">
        <v>700000</v>
      </c>
      <c r="G17" s="173">
        <f t="shared" si="0"/>
        <v>747.86</v>
      </c>
      <c r="H17" s="15">
        <f t="shared" si="1"/>
        <v>136716</v>
      </c>
      <c r="I17" s="114">
        <f t="shared" si="2"/>
        <v>136716</v>
      </c>
    </row>
    <row r="18" spans="1:10" ht="24.95" customHeight="1">
      <c r="A18" s="48">
        <v>11</v>
      </c>
      <c r="B18" s="53" t="s">
        <v>57</v>
      </c>
      <c r="C18" s="52" t="s">
        <v>64</v>
      </c>
      <c r="D18" s="52"/>
      <c r="E18" s="499">
        <v>581.69000000000005</v>
      </c>
      <c r="F18" s="301">
        <v>1864.44</v>
      </c>
      <c r="G18" s="26"/>
      <c r="H18" s="18">
        <f>I18</f>
        <v>1084526.1036</v>
      </c>
      <c r="I18" s="114">
        <f>F18*E18</f>
        <v>1084526.1036</v>
      </c>
    </row>
    <row r="19" spans="1:10" ht="25.5" customHeight="1">
      <c r="A19" s="27"/>
      <c r="B19" s="582" t="s">
        <v>285</v>
      </c>
      <c r="C19" s="583"/>
      <c r="D19" s="583"/>
      <c r="E19" s="583"/>
      <c r="F19" s="583"/>
      <c r="G19" s="584"/>
      <c r="H19" s="47">
        <f>SUM(H8:H18)</f>
        <v>2996747.1036</v>
      </c>
      <c r="I19" s="129">
        <f>ROUND((SUM(I8:I18)),0)</f>
        <v>3031936</v>
      </c>
    </row>
    <row r="20" spans="1:10" ht="18.75">
      <c r="A20" s="302"/>
      <c r="B20" s="585" t="s">
        <v>284</v>
      </c>
      <c r="C20" s="585"/>
      <c r="D20" s="585"/>
      <c r="E20" s="585"/>
      <c r="F20" s="585"/>
      <c r="G20" s="585"/>
      <c r="H20" s="304"/>
      <c r="I20" s="303">
        <f>I19*0.05</f>
        <v>151596.80000000002</v>
      </c>
    </row>
    <row r="21" spans="1:10" ht="18.75">
      <c r="A21" s="302"/>
      <c r="B21" s="585" t="s">
        <v>65</v>
      </c>
      <c r="C21" s="585"/>
      <c r="D21" s="585"/>
      <c r="E21" s="585"/>
      <c r="F21" s="585"/>
      <c r="G21" s="585"/>
      <c r="H21" s="304"/>
      <c r="I21" s="303">
        <f>ROUND((I19+I20),0)</f>
        <v>3183533</v>
      </c>
      <c r="J21" s="390"/>
    </row>
    <row r="24" spans="1:10" ht="6.75" customHeight="1"/>
    <row r="25" spans="1:10" ht="6.75" customHeight="1"/>
    <row r="26" spans="1:10" ht="19.5" customHeight="1">
      <c r="A26" s="576" t="s">
        <v>151</v>
      </c>
      <c r="B26" s="576"/>
      <c r="C26" s="576"/>
      <c r="D26" s="576"/>
      <c r="E26" s="576"/>
      <c r="F26" s="576"/>
      <c r="G26" s="576"/>
      <c r="H26" s="576"/>
      <c r="I26" s="576"/>
    </row>
    <row r="28" spans="1:10" ht="42.75">
      <c r="A28" s="124" t="s">
        <v>161</v>
      </c>
      <c r="B28" s="134" t="s">
        <v>144</v>
      </c>
      <c r="C28" s="127" t="s">
        <v>145</v>
      </c>
      <c r="D28" s="275" t="s">
        <v>280</v>
      </c>
      <c r="E28" s="124" t="s">
        <v>146</v>
      </c>
      <c r="F28" s="21"/>
    </row>
    <row r="29" spans="1:10" ht="18.75" customHeight="1">
      <c r="A29" s="270" t="s">
        <v>109</v>
      </c>
      <c r="B29" s="261"/>
      <c r="C29" s="256">
        <v>0.56100000000000005</v>
      </c>
      <c r="D29" s="274">
        <v>1</v>
      </c>
      <c r="E29" s="128">
        <f>ROUND((I$21*C29*D29),0)</f>
        <v>1785962</v>
      </c>
      <c r="F29" s="21"/>
    </row>
    <row r="30" spans="1:10" ht="18.75" customHeight="1">
      <c r="A30" s="135">
        <v>1</v>
      </c>
      <c r="B30" s="412" t="s">
        <v>110</v>
      </c>
      <c r="C30" s="256">
        <v>0.50600000000000001</v>
      </c>
      <c r="D30" s="274">
        <v>1</v>
      </c>
      <c r="E30" s="128">
        <f t="shared" ref="E30:E58" si="3">ROUND((I$21*C30*D30),0)</f>
        <v>1610868</v>
      </c>
      <c r="F30" s="21"/>
    </row>
    <row r="31" spans="1:10" ht="31.5">
      <c r="A31" s="135" t="s">
        <v>30</v>
      </c>
      <c r="B31" s="412" t="s">
        <v>307</v>
      </c>
      <c r="C31" s="256">
        <v>5.5E-2</v>
      </c>
      <c r="D31" s="274">
        <v>1</v>
      </c>
      <c r="E31" s="128">
        <f t="shared" si="3"/>
        <v>175094</v>
      </c>
      <c r="F31" s="21"/>
    </row>
    <row r="32" spans="1:10" ht="18.75" customHeight="1">
      <c r="A32" s="135" t="s">
        <v>165</v>
      </c>
      <c r="B32" s="412" t="s">
        <v>308</v>
      </c>
      <c r="C32" s="256">
        <v>4.0000000000000001E-3</v>
      </c>
      <c r="D32" s="274">
        <v>1</v>
      </c>
      <c r="E32" s="128">
        <f t="shared" si="3"/>
        <v>12734</v>
      </c>
      <c r="F32" s="21"/>
    </row>
    <row r="33" spans="1:6" ht="18.75" customHeight="1">
      <c r="A33" s="135" t="s">
        <v>166</v>
      </c>
      <c r="B33" s="412" t="s">
        <v>309</v>
      </c>
      <c r="C33" s="256">
        <v>5.0999999999999997E-2</v>
      </c>
      <c r="D33" s="274">
        <v>1</v>
      </c>
      <c r="E33" s="128">
        <f t="shared" si="3"/>
        <v>162360</v>
      </c>
      <c r="F33" s="21"/>
    </row>
    <row r="34" spans="1:6" ht="15.75">
      <c r="A34" s="135" t="s">
        <v>31</v>
      </c>
      <c r="B34" s="412" t="s">
        <v>311</v>
      </c>
      <c r="C34" s="256">
        <v>0.11600000000000001</v>
      </c>
      <c r="D34" s="274">
        <v>1</v>
      </c>
      <c r="E34" s="128">
        <f t="shared" si="3"/>
        <v>369290</v>
      </c>
      <c r="F34" s="21"/>
    </row>
    <row r="35" spans="1:6" ht="15.75">
      <c r="A35" s="135" t="s">
        <v>167</v>
      </c>
      <c r="B35" s="412" t="s">
        <v>312</v>
      </c>
      <c r="C35" s="272">
        <v>1.6E-2</v>
      </c>
      <c r="D35" s="274">
        <v>1</v>
      </c>
      <c r="E35" s="128">
        <f t="shared" si="3"/>
        <v>50937</v>
      </c>
      <c r="F35" s="21"/>
    </row>
    <row r="36" spans="1:6" ht="15.75" customHeight="1">
      <c r="A36" s="135" t="s">
        <v>168</v>
      </c>
      <c r="B36" s="412" t="s">
        <v>313</v>
      </c>
      <c r="C36" s="256">
        <v>1.7000000000000001E-2</v>
      </c>
      <c r="D36" s="274">
        <v>1</v>
      </c>
      <c r="E36" s="128">
        <f t="shared" si="3"/>
        <v>54120</v>
      </c>
      <c r="F36" s="21"/>
    </row>
    <row r="37" spans="1:6" ht="15.75" customHeight="1">
      <c r="A37" s="135" t="s">
        <v>169</v>
      </c>
      <c r="B37" s="412" t="s">
        <v>314</v>
      </c>
      <c r="C37" s="256">
        <v>4.2000000000000003E-2</v>
      </c>
      <c r="D37" s="274">
        <v>1</v>
      </c>
      <c r="E37" s="128">
        <f t="shared" si="3"/>
        <v>133708</v>
      </c>
      <c r="F37" s="21"/>
    </row>
    <row r="38" spans="1:6" ht="15.75" customHeight="1">
      <c r="A38" s="135" t="s">
        <v>170</v>
      </c>
      <c r="B38" s="412" t="s">
        <v>315</v>
      </c>
      <c r="C38" s="256">
        <v>3.9E-2</v>
      </c>
      <c r="D38" s="274">
        <v>1</v>
      </c>
      <c r="E38" s="128">
        <f t="shared" si="3"/>
        <v>124158</v>
      </c>
      <c r="F38" s="21"/>
    </row>
    <row r="39" spans="1:6" ht="15.75" customHeight="1">
      <c r="A39" s="135" t="s">
        <v>153</v>
      </c>
      <c r="B39" s="412" t="s">
        <v>321</v>
      </c>
      <c r="C39" s="256">
        <v>0.23699999999999999</v>
      </c>
      <c r="D39" s="274">
        <v>1</v>
      </c>
      <c r="E39" s="128">
        <f t="shared" si="3"/>
        <v>754497</v>
      </c>
      <c r="F39" s="21"/>
    </row>
    <row r="40" spans="1:6" ht="15.75" customHeight="1">
      <c r="A40" s="135" t="s">
        <v>171</v>
      </c>
      <c r="B40" s="412" t="s">
        <v>322</v>
      </c>
      <c r="C40" s="256">
        <v>8.5999999999999993E-2</v>
      </c>
      <c r="D40" s="274">
        <v>1</v>
      </c>
      <c r="E40" s="128">
        <f t="shared" si="3"/>
        <v>273784</v>
      </c>
      <c r="F40" s="21"/>
    </row>
    <row r="41" spans="1:6" ht="15.75" customHeight="1">
      <c r="A41" s="135" t="s">
        <v>172</v>
      </c>
      <c r="B41" s="412" t="s">
        <v>323</v>
      </c>
      <c r="C41" s="273">
        <v>6.6000000000000003E-2</v>
      </c>
      <c r="D41" s="274">
        <v>1</v>
      </c>
      <c r="E41" s="128">
        <f t="shared" si="3"/>
        <v>210113</v>
      </c>
      <c r="F41" s="21"/>
    </row>
    <row r="42" spans="1:6" ht="15.75" customHeight="1">
      <c r="A42" s="135" t="s">
        <v>173</v>
      </c>
      <c r="B42" s="412" t="s">
        <v>324</v>
      </c>
      <c r="C42" s="273">
        <v>8.5000000000000006E-2</v>
      </c>
      <c r="D42" s="274">
        <v>1</v>
      </c>
      <c r="E42" s="128">
        <f t="shared" si="3"/>
        <v>270600</v>
      </c>
      <c r="F42" s="21"/>
    </row>
    <row r="43" spans="1:6" ht="15.75" customHeight="1">
      <c r="A43" s="135" t="s">
        <v>152</v>
      </c>
      <c r="B43" s="412" t="s">
        <v>317</v>
      </c>
      <c r="C43" s="273">
        <v>2.5999999999999999E-2</v>
      </c>
      <c r="D43" s="274">
        <v>1</v>
      </c>
      <c r="E43" s="128">
        <f t="shared" si="3"/>
        <v>82772</v>
      </c>
      <c r="F43" s="21"/>
    </row>
    <row r="44" spans="1:6" ht="15.75" customHeight="1">
      <c r="A44" s="135" t="s">
        <v>340</v>
      </c>
      <c r="B44" s="412" t="s">
        <v>318</v>
      </c>
      <c r="C44" s="273">
        <v>1.6E-2</v>
      </c>
      <c r="D44" s="274">
        <v>1</v>
      </c>
      <c r="E44" s="128">
        <f t="shared" si="3"/>
        <v>50937</v>
      </c>
      <c r="F44" s="21"/>
    </row>
    <row r="45" spans="1:6" ht="15.75" customHeight="1">
      <c r="A45" s="135" t="s">
        <v>341</v>
      </c>
      <c r="B45" s="412" t="s">
        <v>309</v>
      </c>
      <c r="C45" s="273">
        <v>5.0000000000000001E-3</v>
      </c>
      <c r="D45" s="274">
        <v>1</v>
      </c>
      <c r="E45" s="128">
        <f t="shared" si="3"/>
        <v>15918</v>
      </c>
      <c r="F45" s="21"/>
    </row>
    <row r="46" spans="1:6" ht="15.75" customHeight="1">
      <c r="A46" s="135" t="s">
        <v>342</v>
      </c>
      <c r="B46" s="412" t="s">
        <v>319</v>
      </c>
      <c r="C46" s="273">
        <v>5.0000000000000001E-3</v>
      </c>
      <c r="D46" s="274">
        <v>1</v>
      </c>
      <c r="E46" s="128">
        <f t="shared" si="3"/>
        <v>15918</v>
      </c>
      <c r="F46" s="21"/>
    </row>
    <row r="47" spans="1:6" ht="15.75" customHeight="1">
      <c r="A47" s="135" t="s">
        <v>155</v>
      </c>
      <c r="B47" s="412" t="s">
        <v>326</v>
      </c>
      <c r="C47" s="273">
        <v>5.1999999999999998E-2</v>
      </c>
      <c r="D47" s="274">
        <v>1</v>
      </c>
      <c r="E47" s="128">
        <f t="shared" si="3"/>
        <v>165544</v>
      </c>
      <c r="F47" s="21"/>
    </row>
    <row r="48" spans="1:6" ht="15.75" customHeight="1">
      <c r="A48" s="135" t="s">
        <v>343</v>
      </c>
      <c r="B48" s="412" t="s">
        <v>327</v>
      </c>
      <c r="C48" s="273">
        <v>0.04</v>
      </c>
      <c r="D48" s="274">
        <v>1</v>
      </c>
      <c r="E48" s="128">
        <f t="shared" si="3"/>
        <v>127341</v>
      </c>
      <c r="F48" s="21"/>
    </row>
    <row r="49" spans="1:6" ht="15.75" customHeight="1">
      <c r="A49" s="135" t="s">
        <v>344</v>
      </c>
      <c r="B49" s="412" t="s">
        <v>328</v>
      </c>
      <c r="C49" s="273">
        <v>1.2E-2</v>
      </c>
      <c r="D49" s="274">
        <v>1</v>
      </c>
      <c r="E49" s="128">
        <f t="shared" si="3"/>
        <v>38202</v>
      </c>
      <c r="F49" s="21"/>
    </row>
    <row r="50" spans="1:6" ht="15.75" customHeight="1">
      <c r="A50" s="135" t="s">
        <v>174</v>
      </c>
      <c r="B50" s="412" t="s">
        <v>345</v>
      </c>
      <c r="C50" s="256">
        <v>2.1000000000000001E-2</v>
      </c>
      <c r="D50" s="274">
        <v>1</v>
      </c>
      <c r="E50" s="128">
        <f t="shared" si="3"/>
        <v>66854</v>
      </c>
      <c r="F50" s="21"/>
    </row>
    <row r="51" spans="1:6" ht="15.75" customHeight="1">
      <c r="A51" s="135" t="s">
        <v>346</v>
      </c>
      <c r="B51" s="412" t="s">
        <v>111</v>
      </c>
      <c r="C51" s="256">
        <v>8.9999999999999993E-3</v>
      </c>
      <c r="D51" s="274">
        <v>1</v>
      </c>
      <c r="E51" s="128">
        <f t="shared" si="3"/>
        <v>28652</v>
      </c>
      <c r="F51" s="21"/>
    </row>
    <row r="52" spans="1:6" ht="15.75" customHeight="1">
      <c r="A52" s="135" t="s">
        <v>347</v>
      </c>
      <c r="B52" s="412" t="s">
        <v>331</v>
      </c>
      <c r="C52" s="256">
        <v>1.2E-2</v>
      </c>
      <c r="D52" s="274">
        <v>1</v>
      </c>
      <c r="E52" s="128">
        <f t="shared" si="3"/>
        <v>38202</v>
      </c>
      <c r="F52" s="21"/>
    </row>
    <row r="53" spans="1:6" ht="31.5">
      <c r="A53" s="135">
        <v>2</v>
      </c>
      <c r="B53" s="412" t="s">
        <v>112</v>
      </c>
      <c r="C53" s="256">
        <v>5.5E-2</v>
      </c>
      <c r="D53" s="274">
        <v>1</v>
      </c>
      <c r="E53" s="128">
        <f t="shared" si="3"/>
        <v>175094</v>
      </c>
      <c r="F53" s="21"/>
    </row>
    <row r="54" spans="1:6" customFormat="1" ht="15.75">
      <c r="A54" s="202" t="s">
        <v>129</v>
      </c>
      <c r="B54" s="201" t="s">
        <v>236</v>
      </c>
      <c r="C54" s="256">
        <v>5.5E-2</v>
      </c>
      <c r="D54" s="266">
        <v>1</v>
      </c>
      <c r="E54" s="128">
        <f t="shared" si="3"/>
        <v>175094</v>
      </c>
    </row>
    <row r="55" spans="1:6" customFormat="1" ht="15.75">
      <c r="A55" s="202" t="s">
        <v>130</v>
      </c>
      <c r="B55" s="201" t="s">
        <v>237</v>
      </c>
      <c r="C55" s="256">
        <v>5.5E-2</v>
      </c>
      <c r="D55" s="266">
        <v>0.8</v>
      </c>
      <c r="E55" s="128">
        <f t="shared" si="3"/>
        <v>140075</v>
      </c>
    </row>
    <row r="56" spans="1:6" customFormat="1" ht="15.75">
      <c r="A56" s="202" t="s">
        <v>131</v>
      </c>
      <c r="B56" s="201" t="s">
        <v>238</v>
      </c>
      <c r="C56" s="256">
        <v>5.5E-2</v>
      </c>
      <c r="D56" s="266">
        <v>0.6</v>
      </c>
      <c r="E56" s="128">
        <f t="shared" si="3"/>
        <v>105057</v>
      </c>
    </row>
    <row r="57" spans="1:6" customFormat="1" ht="15.75">
      <c r="A57" s="202" t="s">
        <v>132</v>
      </c>
      <c r="B57" s="201" t="s">
        <v>239</v>
      </c>
      <c r="C57" s="256">
        <v>5.5E-2</v>
      </c>
      <c r="D57" s="266">
        <v>0.4</v>
      </c>
      <c r="E57" s="128">
        <f t="shared" si="3"/>
        <v>70038</v>
      </c>
    </row>
    <row r="58" spans="1:6" customFormat="1" ht="15.75">
      <c r="A58" s="202" t="s">
        <v>230</v>
      </c>
      <c r="B58" s="201" t="s">
        <v>240</v>
      </c>
      <c r="C58" s="256">
        <v>5.5E-2</v>
      </c>
      <c r="D58" s="266">
        <v>0.4</v>
      </c>
      <c r="E58" s="128">
        <f t="shared" si="3"/>
        <v>70038</v>
      </c>
    </row>
  </sheetData>
  <mergeCells count="8">
    <mergeCell ref="A2:F2"/>
    <mergeCell ref="A26:I26"/>
    <mergeCell ref="B19:G19"/>
    <mergeCell ref="A1:I1"/>
    <mergeCell ref="B3:E3"/>
    <mergeCell ref="B4:F4"/>
    <mergeCell ref="B20:G20"/>
    <mergeCell ref="B21:G21"/>
  </mergeCells>
  <printOptions horizontalCentered="1"/>
  <pageMargins left="0" right="0" top="0.5" bottom="0.25" header="0.3" footer="0.25"/>
  <pageSetup paperSize="9" scale="90" orientation="portrait" r:id="rId1"/>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7"/>
  <sheetViews>
    <sheetView zoomScaleNormal="100" workbookViewId="0">
      <selection activeCell="E14" sqref="E14"/>
    </sheetView>
  </sheetViews>
  <sheetFormatPr defaultRowHeight="15"/>
  <cols>
    <col min="1" max="1" width="7.85546875" style="21" customWidth="1"/>
    <col min="2" max="2" width="37.28515625" style="21" customWidth="1"/>
    <col min="3" max="3" width="15.28515625" style="81" customWidth="1"/>
    <col min="4" max="4" width="14.28515625" style="81" customWidth="1"/>
    <col min="5" max="5" width="14.5703125" style="81" customWidth="1"/>
    <col min="6" max="6" width="18.140625" style="33" customWidth="1"/>
    <col min="7" max="7" width="17.5703125" style="21" customWidth="1"/>
    <col min="8" max="8" width="16.7109375" style="21" hidden="1" customWidth="1"/>
    <col min="9" max="9" width="18.5703125" style="21" customWidth="1"/>
    <col min="10" max="10" width="9.140625" style="21"/>
    <col min="11" max="11" width="9.42578125" style="21" bestFit="1" customWidth="1"/>
    <col min="12" max="16384" width="9.140625" style="21"/>
  </cols>
  <sheetData>
    <row r="1" spans="1:11" ht="21" customHeight="1">
      <c r="A1" s="575" t="s">
        <v>348</v>
      </c>
      <c r="B1" s="575"/>
      <c r="C1" s="575"/>
      <c r="D1" s="575"/>
      <c r="E1" s="575"/>
      <c r="F1" s="575"/>
      <c r="G1" s="575"/>
      <c r="H1" s="575"/>
      <c r="I1" s="575"/>
    </row>
    <row r="2" spans="1:11" ht="17.25" customHeight="1">
      <c r="A2" s="220" t="s">
        <v>255</v>
      </c>
      <c r="B2" s="219"/>
      <c r="C2" s="221"/>
      <c r="D2" s="221"/>
      <c r="E2" s="221"/>
      <c r="F2" s="218"/>
      <c r="G2" s="10"/>
      <c r="H2" s="10"/>
      <c r="I2" s="1" t="s">
        <v>93</v>
      </c>
    </row>
    <row r="3" spans="1:11" ht="18" customHeight="1">
      <c r="A3" s="217" t="s">
        <v>32</v>
      </c>
      <c r="B3" s="581" t="s">
        <v>45</v>
      </c>
      <c r="C3" s="581"/>
      <c r="D3" s="581"/>
      <c r="E3" s="581"/>
      <c r="F3" s="218"/>
      <c r="G3" s="10"/>
      <c r="H3" s="10"/>
      <c r="I3" s="10"/>
    </row>
    <row r="4" spans="1:11" ht="19.5" customHeight="1">
      <c r="A4" s="217" t="s">
        <v>261</v>
      </c>
      <c r="B4" s="581" t="s">
        <v>113</v>
      </c>
      <c r="C4" s="581"/>
      <c r="D4" s="581"/>
      <c r="E4" s="581"/>
      <c r="F4" s="581"/>
      <c r="G4" s="10"/>
      <c r="H4" s="10"/>
      <c r="I4" s="10"/>
    </row>
    <row r="5" spans="1:11" ht="3.75" customHeight="1">
      <c r="A5" s="17"/>
      <c r="B5" s="14"/>
      <c r="C5" s="54"/>
      <c r="D5" s="117"/>
      <c r="E5" s="118"/>
      <c r="F5" s="28"/>
      <c r="G5" s="12"/>
      <c r="H5" s="12"/>
      <c r="I5" s="12"/>
    </row>
    <row r="6" spans="1:11" ht="54.75" customHeight="1">
      <c r="A6" s="341" t="s">
        <v>46</v>
      </c>
      <c r="B6" s="341" t="s">
        <v>47</v>
      </c>
      <c r="C6" s="341" t="s">
        <v>48</v>
      </c>
      <c r="D6" s="341" t="s">
        <v>293</v>
      </c>
      <c r="E6" s="342" t="s">
        <v>140</v>
      </c>
      <c r="F6" s="343" t="s">
        <v>292</v>
      </c>
      <c r="G6" s="342" t="s">
        <v>50</v>
      </c>
      <c r="H6" s="342" t="s">
        <v>51</v>
      </c>
      <c r="I6" s="342" t="s">
        <v>141</v>
      </c>
    </row>
    <row r="7" spans="1:11" ht="21" customHeight="1">
      <c r="A7" s="344" t="s">
        <v>7</v>
      </c>
      <c r="B7" s="344" t="s">
        <v>8</v>
      </c>
      <c r="C7" s="344" t="s">
        <v>9</v>
      </c>
      <c r="D7" s="344" t="s">
        <v>21</v>
      </c>
      <c r="E7" s="344" t="s">
        <v>52</v>
      </c>
      <c r="F7" s="345" t="s">
        <v>23</v>
      </c>
      <c r="G7" s="346" t="s">
        <v>202</v>
      </c>
      <c r="H7" s="346" t="s">
        <v>53</v>
      </c>
      <c r="I7" s="346" t="s">
        <v>142</v>
      </c>
    </row>
    <row r="8" spans="1:11" ht="18.75" customHeight="1">
      <c r="A8" s="347">
        <v>1</v>
      </c>
      <c r="B8" s="348" t="s">
        <v>54</v>
      </c>
      <c r="C8" s="347" t="s">
        <v>55</v>
      </c>
      <c r="D8" s="347">
        <v>60</v>
      </c>
      <c r="E8" s="373">
        <v>2.88</v>
      </c>
      <c r="F8" s="349">
        <v>800000</v>
      </c>
      <c r="G8" s="350">
        <f>ROUND((F8/(D8*26)),2)</f>
        <v>512.82000000000005</v>
      </c>
      <c r="H8" s="351">
        <f>I8</f>
        <v>1477</v>
      </c>
      <c r="I8" s="352">
        <f t="shared" ref="I8:I16" si="0">ROUND(E8*G8,0)</f>
        <v>1477</v>
      </c>
      <c r="K8" s="46"/>
    </row>
    <row r="9" spans="1:11" ht="21" customHeight="1">
      <c r="A9" s="353">
        <v>2</v>
      </c>
      <c r="B9" s="354" t="s">
        <v>138</v>
      </c>
      <c r="C9" s="347" t="s">
        <v>55</v>
      </c>
      <c r="D9" s="353">
        <v>60</v>
      </c>
      <c r="E9" s="373">
        <v>2.88</v>
      </c>
      <c r="F9" s="355">
        <v>300000</v>
      </c>
      <c r="G9" s="350">
        <f t="shared" ref="G9:G16" si="1">ROUND((F9/(D9*26)),2)</f>
        <v>192.31</v>
      </c>
      <c r="H9" s="351">
        <f t="shared" ref="H9:H16" si="2">I9</f>
        <v>554</v>
      </c>
      <c r="I9" s="356">
        <f t="shared" si="0"/>
        <v>554</v>
      </c>
    </row>
    <row r="10" spans="1:11" ht="22.5" customHeight="1">
      <c r="A10" s="347">
        <v>3</v>
      </c>
      <c r="B10" s="354" t="s">
        <v>139</v>
      </c>
      <c r="C10" s="347" t="s">
        <v>55</v>
      </c>
      <c r="D10" s="353">
        <v>12</v>
      </c>
      <c r="E10" s="376">
        <v>2.37</v>
      </c>
      <c r="F10" s="355">
        <v>160000</v>
      </c>
      <c r="G10" s="350">
        <f t="shared" si="1"/>
        <v>512.82000000000005</v>
      </c>
      <c r="H10" s="351">
        <f t="shared" si="2"/>
        <v>1215</v>
      </c>
      <c r="I10" s="357">
        <f t="shared" si="0"/>
        <v>1215</v>
      </c>
    </row>
    <row r="11" spans="1:11" ht="21.75" customHeight="1">
      <c r="A11" s="353">
        <v>4</v>
      </c>
      <c r="B11" s="354" t="s">
        <v>59</v>
      </c>
      <c r="C11" s="347" t="s">
        <v>55</v>
      </c>
      <c r="D11" s="353">
        <v>60</v>
      </c>
      <c r="E11" s="376">
        <v>0.72</v>
      </c>
      <c r="F11" s="355">
        <v>1400000</v>
      </c>
      <c r="G11" s="350">
        <f t="shared" si="1"/>
        <v>897.44</v>
      </c>
      <c r="H11" s="351">
        <f>I11</f>
        <v>646</v>
      </c>
      <c r="I11" s="357">
        <f>ROUND(E11*G11,0)</f>
        <v>646</v>
      </c>
    </row>
    <row r="12" spans="1:11" ht="22.5" customHeight="1">
      <c r="A12" s="347">
        <v>5</v>
      </c>
      <c r="B12" s="354" t="s">
        <v>56</v>
      </c>
      <c r="C12" s="347" t="s">
        <v>55</v>
      </c>
      <c r="D12" s="353">
        <v>12</v>
      </c>
      <c r="E12" s="376">
        <v>1.44</v>
      </c>
      <c r="F12" s="355">
        <v>100000</v>
      </c>
      <c r="G12" s="350">
        <f t="shared" si="1"/>
        <v>320.51</v>
      </c>
      <c r="H12" s="351">
        <f>I12</f>
        <v>462</v>
      </c>
      <c r="I12" s="357">
        <f>ROUND(E12*G12,0)</f>
        <v>462</v>
      </c>
    </row>
    <row r="13" spans="1:11" ht="21" customHeight="1">
      <c r="A13" s="353">
        <v>6</v>
      </c>
      <c r="B13" s="354" t="s">
        <v>147</v>
      </c>
      <c r="C13" s="347" t="s">
        <v>55</v>
      </c>
      <c r="D13" s="353">
        <v>24</v>
      </c>
      <c r="E13" s="376">
        <v>0.2</v>
      </c>
      <c r="F13" s="355">
        <v>129000</v>
      </c>
      <c r="G13" s="350">
        <f t="shared" si="1"/>
        <v>206.73</v>
      </c>
      <c r="H13" s="351"/>
      <c r="I13" s="357">
        <f>ROUND(E13*G13,0)</f>
        <v>41</v>
      </c>
    </row>
    <row r="14" spans="1:11" ht="21.75" customHeight="1">
      <c r="A14" s="347">
        <v>7</v>
      </c>
      <c r="B14" s="354" t="s">
        <v>62</v>
      </c>
      <c r="C14" s="347" t="s">
        <v>55</v>
      </c>
      <c r="D14" s="353">
        <v>24</v>
      </c>
      <c r="E14" s="376">
        <v>2.88</v>
      </c>
      <c r="F14" s="355">
        <v>60000</v>
      </c>
      <c r="G14" s="350">
        <f t="shared" si="1"/>
        <v>96.15</v>
      </c>
      <c r="H14" s="351">
        <f t="shared" si="2"/>
        <v>277</v>
      </c>
      <c r="I14" s="356">
        <f t="shared" si="0"/>
        <v>277</v>
      </c>
    </row>
    <row r="15" spans="1:11" ht="21.75" customHeight="1">
      <c r="A15" s="353">
        <v>8</v>
      </c>
      <c r="B15" s="354" t="s">
        <v>61</v>
      </c>
      <c r="C15" s="347" t="s">
        <v>55</v>
      </c>
      <c r="D15" s="353">
        <v>36</v>
      </c>
      <c r="E15" s="376">
        <v>0.48</v>
      </c>
      <c r="F15" s="355">
        <v>250000</v>
      </c>
      <c r="G15" s="350">
        <f t="shared" si="1"/>
        <v>267.08999999999997</v>
      </c>
      <c r="H15" s="351">
        <f t="shared" si="2"/>
        <v>128</v>
      </c>
      <c r="I15" s="356">
        <f t="shared" si="0"/>
        <v>128</v>
      </c>
    </row>
    <row r="16" spans="1:11" ht="21" customHeight="1">
      <c r="A16" s="347">
        <v>9</v>
      </c>
      <c r="B16" s="354" t="s">
        <v>63</v>
      </c>
      <c r="C16" s="347" t="s">
        <v>55</v>
      </c>
      <c r="D16" s="353">
        <v>36</v>
      </c>
      <c r="E16" s="376">
        <v>0.48</v>
      </c>
      <c r="F16" s="355">
        <v>700000</v>
      </c>
      <c r="G16" s="350">
        <f t="shared" si="1"/>
        <v>747.86</v>
      </c>
      <c r="H16" s="351">
        <f t="shared" si="2"/>
        <v>359</v>
      </c>
      <c r="I16" s="356">
        <f t="shared" si="0"/>
        <v>359</v>
      </c>
    </row>
    <row r="17" spans="1:10" ht="22.5" customHeight="1">
      <c r="A17" s="353">
        <v>10</v>
      </c>
      <c r="B17" s="358" t="s">
        <v>57</v>
      </c>
      <c r="C17" s="359" t="s">
        <v>64</v>
      </c>
      <c r="D17" s="359"/>
      <c r="E17" s="377">
        <v>1.53</v>
      </c>
      <c r="F17" s="360">
        <v>1864.44</v>
      </c>
      <c r="G17" s="361"/>
      <c r="H17" s="362">
        <f>I17</f>
        <v>2852.5932000000003</v>
      </c>
      <c r="I17" s="356">
        <f>F17*E17</f>
        <v>2852.5932000000003</v>
      </c>
    </row>
    <row r="18" spans="1:10" ht="18.75" customHeight="1">
      <c r="A18" s="363"/>
      <c r="B18" s="568" t="s">
        <v>285</v>
      </c>
      <c r="C18" s="569"/>
      <c r="D18" s="569"/>
      <c r="E18" s="569"/>
      <c r="F18" s="569"/>
      <c r="G18" s="570"/>
      <c r="H18" s="364">
        <f>SUM(H8:H17)</f>
        <v>7970.5932000000003</v>
      </c>
      <c r="I18" s="365">
        <f>SUM(I8:I17)</f>
        <v>8011.5932000000003</v>
      </c>
    </row>
    <row r="19" spans="1:10" ht="16.5">
      <c r="A19" s="366"/>
      <c r="B19" s="586" t="s">
        <v>284</v>
      </c>
      <c r="C19" s="586"/>
      <c r="D19" s="586"/>
      <c r="E19" s="586"/>
      <c r="F19" s="586"/>
      <c r="G19" s="586"/>
      <c r="H19" s="366"/>
      <c r="I19" s="367">
        <f>ROUND(I18*0.05,0)</f>
        <v>401</v>
      </c>
    </row>
    <row r="20" spans="1:10" ht="16.5">
      <c r="A20" s="366"/>
      <c r="B20" s="586" t="s">
        <v>65</v>
      </c>
      <c r="C20" s="586"/>
      <c r="D20" s="586"/>
      <c r="E20" s="586"/>
      <c r="F20" s="586"/>
      <c r="G20" s="586"/>
      <c r="H20" s="366"/>
      <c r="I20" s="368">
        <f>SUM(I18+I19)</f>
        <v>8412.5931999999993</v>
      </c>
      <c r="J20" s="390"/>
    </row>
    <row r="21" spans="1:10" ht="7.5" customHeight="1"/>
    <row r="22" spans="1:10" ht="15" customHeight="1">
      <c r="A22" s="576" t="s">
        <v>151</v>
      </c>
      <c r="B22" s="576"/>
      <c r="C22" s="576"/>
      <c r="D22" s="576"/>
      <c r="E22" s="576"/>
      <c r="F22" s="576"/>
      <c r="G22" s="576"/>
      <c r="H22" s="576"/>
      <c r="I22" s="576"/>
    </row>
    <row r="23" spans="1:10" ht="6.75" customHeight="1"/>
    <row r="24" spans="1:10" ht="51" customHeight="1">
      <c r="A24" s="339" t="s">
        <v>161</v>
      </c>
      <c r="B24" s="372" t="s">
        <v>144</v>
      </c>
      <c r="C24" s="325" t="s">
        <v>145</v>
      </c>
      <c r="D24" s="339" t="s">
        <v>146</v>
      </c>
      <c r="E24" s="21"/>
      <c r="F24" s="21"/>
    </row>
    <row r="25" spans="1:10" ht="18.75" customHeight="1">
      <c r="A25" s="340">
        <v>1</v>
      </c>
      <c r="B25" s="369" t="s">
        <v>154</v>
      </c>
      <c r="C25" s="370">
        <v>0.6</v>
      </c>
      <c r="D25" s="371">
        <f>ROUND((I$20*C25),0)</f>
        <v>5048</v>
      </c>
      <c r="E25" s="21"/>
      <c r="F25" s="21"/>
    </row>
    <row r="26" spans="1:10" ht="19.5" customHeight="1">
      <c r="A26" s="340">
        <v>2</v>
      </c>
      <c r="B26" s="369" t="s">
        <v>235</v>
      </c>
      <c r="C26" s="370">
        <v>0.36</v>
      </c>
      <c r="D26" s="371">
        <f>ROUND((I$20*C26),0)</f>
        <v>3029</v>
      </c>
      <c r="E26" s="21"/>
      <c r="F26" s="21"/>
    </row>
    <row r="27" spans="1:10" ht="34.5" customHeight="1">
      <c r="A27" s="340">
        <v>3</v>
      </c>
      <c r="B27" s="369" t="s">
        <v>114</v>
      </c>
      <c r="C27" s="370">
        <v>0.42</v>
      </c>
      <c r="D27" s="371">
        <f>ROUND((I$20*C27),0)</f>
        <v>3533</v>
      </c>
    </row>
  </sheetData>
  <mergeCells count="7">
    <mergeCell ref="A1:I1"/>
    <mergeCell ref="B3:E3"/>
    <mergeCell ref="B4:F4"/>
    <mergeCell ref="B18:G18"/>
    <mergeCell ref="A22:I22"/>
    <mergeCell ref="B19:G19"/>
    <mergeCell ref="B20:G20"/>
  </mergeCells>
  <printOptions horizontalCentered="1"/>
  <pageMargins left="0" right="0" top="0.25" bottom="0.25" header="0.3" footer="0.25"/>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5"/>
  <sheetViews>
    <sheetView zoomScaleNormal="100" workbookViewId="0">
      <selection activeCell="I19" sqref="I19"/>
    </sheetView>
  </sheetViews>
  <sheetFormatPr defaultRowHeight="15"/>
  <cols>
    <col min="1" max="1" width="7.85546875" style="21" customWidth="1"/>
    <col min="2" max="2" width="35.140625" style="21" customWidth="1"/>
    <col min="3" max="3" width="21.85546875" style="81" customWidth="1"/>
    <col min="4" max="4" width="19.85546875" style="81" customWidth="1"/>
    <col min="5" max="5" width="13.5703125" style="81" customWidth="1"/>
    <col min="6" max="6" width="19" style="33" customWidth="1"/>
    <col min="7" max="7" width="17.5703125" style="21" customWidth="1"/>
    <col min="8" max="8" width="16.7109375" style="21" hidden="1" customWidth="1"/>
    <col min="9" max="9" width="18.5703125" style="21" customWidth="1"/>
    <col min="10" max="10" width="9.140625" style="21"/>
    <col min="11" max="11" width="9.42578125" style="21" bestFit="1" customWidth="1"/>
    <col min="12" max="16384" width="9.140625" style="21"/>
  </cols>
  <sheetData>
    <row r="1" spans="1:11" ht="21" customHeight="1">
      <c r="A1" s="575" t="s">
        <v>349</v>
      </c>
      <c r="B1" s="575"/>
      <c r="C1" s="575"/>
      <c r="D1" s="575"/>
      <c r="E1" s="575"/>
      <c r="F1" s="575"/>
      <c r="G1" s="575"/>
      <c r="H1" s="575"/>
      <c r="I1" s="575"/>
    </row>
    <row r="2" spans="1:11" ht="17.25" customHeight="1">
      <c r="A2" s="220" t="s">
        <v>260</v>
      </c>
      <c r="B2" s="219"/>
      <c r="C2" s="221"/>
      <c r="D2" s="221"/>
      <c r="E2" s="221"/>
      <c r="F2" s="218"/>
      <c r="G2" s="10"/>
      <c r="H2" s="10"/>
      <c r="I2" s="1" t="s">
        <v>204</v>
      </c>
    </row>
    <row r="3" spans="1:11" ht="19.5" customHeight="1">
      <c r="A3" s="217" t="s">
        <v>32</v>
      </c>
      <c r="B3" s="581" t="s">
        <v>45</v>
      </c>
      <c r="C3" s="581"/>
      <c r="D3" s="581"/>
      <c r="E3" s="581"/>
      <c r="F3" s="218"/>
      <c r="G3" s="10"/>
      <c r="H3" s="10"/>
      <c r="I3" s="10"/>
    </row>
    <row r="4" spans="1:11" ht="19.5" customHeight="1">
      <c r="A4" s="217" t="s">
        <v>262</v>
      </c>
      <c r="B4" s="581" t="s">
        <v>115</v>
      </c>
      <c r="C4" s="581"/>
      <c r="D4" s="581"/>
      <c r="E4" s="581"/>
      <c r="F4" s="581"/>
      <c r="G4" s="10"/>
      <c r="H4" s="10"/>
      <c r="I4" s="10"/>
    </row>
    <row r="5" spans="1:11" ht="3.75" customHeight="1">
      <c r="A5" s="17"/>
      <c r="B5" s="14"/>
      <c r="C5" s="54"/>
      <c r="D5" s="117"/>
      <c r="E5" s="118"/>
      <c r="F5" s="28"/>
      <c r="G5" s="12"/>
      <c r="H5" s="12"/>
      <c r="I5" s="12"/>
    </row>
    <row r="6" spans="1:11" ht="54" customHeight="1">
      <c r="A6" s="341" t="s">
        <v>46</v>
      </c>
      <c r="B6" s="341" t="s">
        <v>47</v>
      </c>
      <c r="C6" s="341" t="s">
        <v>48</v>
      </c>
      <c r="D6" s="341" t="s">
        <v>253</v>
      </c>
      <c r="E6" s="342" t="s">
        <v>140</v>
      </c>
      <c r="F6" s="343" t="s">
        <v>292</v>
      </c>
      <c r="G6" s="342" t="s">
        <v>50</v>
      </c>
      <c r="H6" s="342" t="s">
        <v>51</v>
      </c>
      <c r="I6" s="342" t="s">
        <v>141</v>
      </c>
      <c r="J6" s="323"/>
    </row>
    <row r="7" spans="1:11" ht="21" customHeight="1">
      <c r="A7" s="344" t="s">
        <v>7</v>
      </c>
      <c r="B7" s="344" t="s">
        <v>8</v>
      </c>
      <c r="C7" s="344" t="s">
        <v>9</v>
      </c>
      <c r="D7" s="344" t="s">
        <v>21</v>
      </c>
      <c r="E7" s="344" t="s">
        <v>52</v>
      </c>
      <c r="F7" s="345" t="s">
        <v>23</v>
      </c>
      <c r="G7" s="346" t="s">
        <v>202</v>
      </c>
      <c r="H7" s="346" t="s">
        <v>53</v>
      </c>
      <c r="I7" s="346" t="s">
        <v>142</v>
      </c>
      <c r="J7" s="323"/>
    </row>
    <row r="8" spans="1:11" ht="24.95" customHeight="1">
      <c r="A8" s="347">
        <v>1</v>
      </c>
      <c r="B8" s="348" t="s">
        <v>54</v>
      </c>
      <c r="C8" s="347" t="s">
        <v>55</v>
      </c>
      <c r="D8" s="347">
        <v>60</v>
      </c>
      <c r="E8" s="373">
        <v>1.92</v>
      </c>
      <c r="F8" s="349">
        <v>800000</v>
      </c>
      <c r="G8" s="374">
        <f>ROUND((F8/(D8*26)),2)</f>
        <v>512.82000000000005</v>
      </c>
      <c r="H8" s="375">
        <f>I8</f>
        <v>985</v>
      </c>
      <c r="I8" s="352">
        <f t="shared" ref="I8:I15" si="0">ROUND(E8*G8,0)</f>
        <v>985</v>
      </c>
      <c r="J8" s="323"/>
      <c r="K8" s="46"/>
    </row>
    <row r="9" spans="1:11" ht="24.95" customHeight="1">
      <c r="A9" s="353">
        <v>2</v>
      </c>
      <c r="B9" s="354" t="s">
        <v>138</v>
      </c>
      <c r="C9" s="347" t="s">
        <v>55</v>
      </c>
      <c r="D9" s="353">
        <v>60</v>
      </c>
      <c r="E9" s="373">
        <v>1.92</v>
      </c>
      <c r="F9" s="355">
        <v>300000</v>
      </c>
      <c r="G9" s="374">
        <f t="shared" ref="G9:G14" si="1">ROUND((F9/(D9*26)),2)</f>
        <v>192.31</v>
      </c>
      <c r="H9" s="375">
        <f t="shared" ref="H9:H15" si="2">I9</f>
        <v>369</v>
      </c>
      <c r="I9" s="356">
        <f t="shared" si="0"/>
        <v>369</v>
      </c>
      <c r="J9" s="323"/>
    </row>
    <row r="10" spans="1:11" ht="24.95" customHeight="1">
      <c r="A10" s="347">
        <v>3</v>
      </c>
      <c r="B10" s="354" t="s">
        <v>139</v>
      </c>
      <c r="C10" s="347" t="s">
        <v>55</v>
      </c>
      <c r="D10" s="353">
        <v>12</v>
      </c>
      <c r="E10" s="376">
        <v>0.04</v>
      </c>
      <c r="F10" s="355">
        <v>160000</v>
      </c>
      <c r="G10" s="374">
        <f t="shared" si="1"/>
        <v>512.82000000000005</v>
      </c>
      <c r="H10" s="375">
        <f t="shared" si="2"/>
        <v>21</v>
      </c>
      <c r="I10" s="357">
        <f t="shared" si="0"/>
        <v>21</v>
      </c>
      <c r="J10" s="323"/>
    </row>
    <row r="11" spans="1:11" ht="24.95" customHeight="1">
      <c r="A11" s="353">
        <v>4</v>
      </c>
      <c r="B11" s="354" t="s">
        <v>59</v>
      </c>
      <c r="C11" s="347" t="s">
        <v>55</v>
      </c>
      <c r="D11" s="353">
        <v>60</v>
      </c>
      <c r="E11" s="376">
        <v>0.48</v>
      </c>
      <c r="F11" s="355">
        <v>1400000</v>
      </c>
      <c r="G11" s="374">
        <f t="shared" si="1"/>
        <v>897.44</v>
      </c>
      <c r="H11" s="375">
        <f>I11</f>
        <v>431</v>
      </c>
      <c r="I11" s="357">
        <f>ROUND(E11*G11,0)</f>
        <v>431</v>
      </c>
      <c r="J11" s="323"/>
    </row>
    <row r="12" spans="1:11" ht="24.95" customHeight="1">
      <c r="A12" s="347">
        <v>5</v>
      </c>
      <c r="B12" s="354" t="s">
        <v>56</v>
      </c>
      <c r="C12" s="347" t="s">
        <v>55</v>
      </c>
      <c r="D12" s="353">
        <v>12</v>
      </c>
      <c r="E12" s="376">
        <v>1.92</v>
      </c>
      <c r="F12" s="355">
        <v>100000</v>
      </c>
      <c r="G12" s="374">
        <f t="shared" si="1"/>
        <v>320.51</v>
      </c>
      <c r="H12" s="375">
        <f>I12</f>
        <v>615</v>
      </c>
      <c r="I12" s="357">
        <f>ROUND(E12*G12,0)</f>
        <v>615</v>
      </c>
      <c r="J12" s="323"/>
    </row>
    <row r="13" spans="1:11" ht="24.95" customHeight="1">
      <c r="A13" s="353">
        <v>6</v>
      </c>
      <c r="B13" s="354" t="s">
        <v>62</v>
      </c>
      <c r="C13" s="347" t="s">
        <v>55</v>
      </c>
      <c r="D13" s="353">
        <v>24</v>
      </c>
      <c r="E13" s="376">
        <v>1.92</v>
      </c>
      <c r="F13" s="355">
        <v>60000</v>
      </c>
      <c r="G13" s="374">
        <f t="shared" si="1"/>
        <v>96.15</v>
      </c>
      <c r="H13" s="375">
        <f t="shared" si="2"/>
        <v>185</v>
      </c>
      <c r="I13" s="356">
        <f t="shared" si="0"/>
        <v>185</v>
      </c>
      <c r="J13" s="323"/>
    </row>
    <row r="14" spans="1:11" ht="24.95" customHeight="1">
      <c r="A14" s="347">
        <v>7</v>
      </c>
      <c r="B14" s="354" t="s">
        <v>61</v>
      </c>
      <c r="C14" s="347" t="s">
        <v>55</v>
      </c>
      <c r="D14" s="353">
        <v>36</v>
      </c>
      <c r="E14" s="376">
        <v>0.32</v>
      </c>
      <c r="F14" s="355">
        <v>250000</v>
      </c>
      <c r="G14" s="374">
        <f t="shared" si="1"/>
        <v>267.08999999999997</v>
      </c>
      <c r="H14" s="375">
        <f t="shared" si="2"/>
        <v>85</v>
      </c>
      <c r="I14" s="356">
        <f t="shared" si="0"/>
        <v>85</v>
      </c>
      <c r="J14" s="323"/>
    </row>
    <row r="15" spans="1:11" ht="24.95" customHeight="1">
      <c r="A15" s="353">
        <v>8</v>
      </c>
      <c r="B15" s="354" t="s">
        <v>63</v>
      </c>
      <c r="C15" s="347" t="s">
        <v>55</v>
      </c>
      <c r="D15" s="353">
        <v>36</v>
      </c>
      <c r="E15" s="376">
        <v>0.32</v>
      </c>
      <c r="F15" s="355">
        <v>700000</v>
      </c>
      <c r="G15" s="374">
        <f>ROUND((F15/(D15*26)),2)</f>
        <v>747.86</v>
      </c>
      <c r="H15" s="375">
        <f t="shared" si="2"/>
        <v>239</v>
      </c>
      <c r="I15" s="356">
        <f t="shared" si="0"/>
        <v>239</v>
      </c>
      <c r="J15" s="323"/>
    </row>
    <row r="16" spans="1:11" ht="24.95" customHeight="1">
      <c r="A16" s="347">
        <v>9</v>
      </c>
      <c r="B16" s="358" t="s">
        <v>57</v>
      </c>
      <c r="C16" s="359" t="s">
        <v>64</v>
      </c>
      <c r="D16" s="359"/>
      <c r="E16" s="377">
        <v>1.02</v>
      </c>
      <c r="F16" s="360">
        <v>1864.44</v>
      </c>
      <c r="G16" s="374"/>
      <c r="H16" s="378">
        <f>I16</f>
        <v>1901.7288000000001</v>
      </c>
      <c r="I16" s="356">
        <f>F16*E16</f>
        <v>1901.7288000000001</v>
      </c>
      <c r="J16" s="323"/>
    </row>
    <row r="17" spans="1:10" ht="22.5" customHeight="1">
      <c r="A17" s="363"/>
      <c r="B17" s="568" t="s">
        <v>285</v>
      </c>
      <c r="C17" s="569"/>
      <c r="D17" s="569"/>
      <c r="E17" s="569"/>
      <c r="F17" s="569"/>
      <c r="G17" s="570"/>
      <c r="H17" s="364">
        <f>SUM(H8:H16)</f>
        <v>4831.7287999999999</v>
      </c>
      <c r="I17" s="365">
        <f>SUM(I8:I16)</f>
        <v>4831.7287999999999</v>
      </c>
      <c r="J17" s="323"/>
    </row>
    <row r="18" spans="1:10" ht="16.5" customHeight="1">
      <c r="A18" s="379"/>
      <c r="B18" s="571" t="s">
        <v>284</v>
      </c>
      <c r="C18" s="572"/>
      <c r="D18" s="572"/>
      <c r="E18" s="572"/>
      <c r="F18" s="572"/>
      <c r="G18" s="573"/>
      <c r="H18" s="379"/>
      <c r="I18" s="380">
        <f>I17*0.05</f>
        <v>241.58644000000001</v>
      </c>
      <c r="J18" s="323"/>
    </row>
    <row r="19" spans="1:10" ht="21" customHeight="1">
      <c r="A19" s="379"/>
      <c r="B19" s="571" t="s">
        <v>65</v>
      </c>
      <c r="C19" s="572"/>
      <c r="D19" s="572"/>
      <c r="E19" s="572"/>
      <c r="F19" s="572"/>
      <c r="G19" s="573"/>
      <c r="H19" s="379"/>
      <c r="I19" s="368">
        <f>I17+I18</f>
        <v>5073.3152399999999</v>
      </c>
      <c r="J19" s="391"/>
    </row>
    <row r="20" spans="1:10" ht="17.25" customHeight="1">
      <c r="A20" s="382"/>
      <c r="B20" s="383"/>
      <c r="C20" s="383"/>
      <c r="D20" s="383"/>
      <c r="E20" s="383"/>
      <c r="F20" s="383"/>
      <c r="G20" s="383"/>
      <c r="H20" s="382"/>
      <c r="I20" s="384"/>
      <c r="J20" s="323"/>
    </row>
    <row r="21" spans="1:10" ht="21.75" customHeight="1">
      <c r="A21" s="576" t="s">
        <v>151</v>
      </c>
      <c r="B21" s="576"/>
      <c r="C21" s="576"/>
      <c r="D21" s="576"/>
      <c r="E21" s="576"/>
      <c r="F21" s="576"/>
      <c r="G21" s="576"/>
      <c r="H21" s="576"/>
      <c r="I21" s="576"/>
      <c r="J21" s="323"/>
    </row>
    <row r="22" spans="1:10" ht="6" customHeight="1">
      <c r="A22" s="323"/>
      <c r="B22" s="323"/>
      <c r="C22" s="381"/>
      <c r="D22" s="381"/>
      <c r="E22" s="381"/>
      <c r="F22" s="324"/>
      <c r="G22" s="323"/>
      <c r="H22" s="323"/>
      <c r="I22" s="323"/>
      <c r="J22" s="323"/>
    </row>
    <row r="23" spans="1:10" ht="33">
      <c r="A23" s="579" t="s">
        <v>144</v>
      </c>
      <c r="B23" s="579"/>
      <c r="C23" s="325" t="s">
        <v>145</v>
      </c>
      <c r="D23" s="339" t="s">
        <v>146</v>
      </c>
      <c r="E23" s="323"/>
      <c r="F23" s="323"/>
      <c r="G23" s="323"/>
      <c r="H23" s="323"/>
      <c r="I23" s="323"/>
      <c r="J23" s="323"/>
    </row>
    <row r="24" spans="1:10" ht="30.75" customHeight="1">
      <c r="A24" s="587" t="s">
        <v>156</v>
      </c>
      <c r="B24" s="588"/>
      <c r="C24" s="370">
        <v>0.67</v>
      </c>
      <c r="D24" s="371">
        <f>ROUND((I$19*C24),0)</f>
        <v>3399</v>
      </c>
      <c r="E24" s="323"/>
      <c r="F24" s="323"/>
      <c r="G24" s="323"/>
      <c r="H24" s="323"/>
      <c r="I24" s="323"/>
      <c r="J24" s="323"/>
    </row>
    <row r="25" spans="1:10" ht="16.5">
      <c r="A25" s="323"/>
      <c r="B25" s="323"/>
      <c r="C25" s="381"/>
      <c r="D25" s="381"/>
      <c r="E25" s="381"/>
      <c r="F25" s="324"/>
      <c r="G25" s="323"/>
      <c r="H25" s="323"/>
      <c r="I25" s="323"/>
      <c r="J25" s="323"/>
    </row>
  </sheetData>
  <mergeCells count="9">
    <mergeCell ref="A24:B24"/>
    <mergeCell ref="A1:I1"/>
    <mergeCell ref="B3:E3"/>
    <mergeCell ref="B4:F4"/>
    <mergeCell ref="B17:G17"/>
    <mergeCell ref="A21:I21"/>
    <mergeCell ref="A23:B23"/>
    <mergeCell ref="B18:G18"/>
    <mergeCell ref="B19:G19"/>
  </mergeCells>
  <printOptions horizontalCentered="1"/>
  <pageMargins left="0" right="0" top="0.5" bottom="0.25" header="0.3" footer="0.25"/>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19" zoomScaleNormal="100" workbookViewId="0">
      <selection activeCell="D25" sqref="D25"/>
    </sheetView>
  </sheetViews>
  <sheetFormatPr defaultRowHeight="15"/>
  <cols>
    <col min="1" max="1" width="7.85546875" style="21" customWidth="1"/>
    <col min="2" max="2" width="35.140625" style="21" customWidth="1"/>
    <col min="3" max="3" width="21.85546875" style="81" customWidth="1"/>
    <col min="4" max="4" width="19.85546875" style="81" customWidth="1"/>
    <col min="5" max="5" width="13.5703125" style="81" customWidth="1"/>
    <col min="6" max="6" width="19" style="33" customWidth="1"/>
    <col min="7" max="7" width="17.5703125" style="21" customWidth="1"/>
    <col min="8" max="8" width="16.7109375" style="21" hidden="1" customWidth="1"/>
    <col min="9" max="9" width="18.5703125" style="21" customWidth="1"/>
    <col min="10" max="10" width="9.140625" style="21"/>
    <col min="11" max="11" width="9.42578125" style="21" bestFit="1" customWidth="1"/>
    <col min="12" max="16384" width="9.140625" style="21"/>
  </cols>
  <sheetData>
    <row r="1" spans="1:11" ht="21" customHeight="1">
      <c r="A1" s="575" t="s">
        <v>349</v>
      </c>
      <c r="B1" s="575"/>
      <c r="C1" s="575"/>
      <c r="D1" s="575"/>
      <c r="E1" s="575"/>
      <c r="F1" s="575"/>
      <c r="G1" s="575"/>
      <c r="H1" s="575"/>
      <c r="I1" s="575"/>
    </row>
    <row r="2" spans="1:11" ht="17.25" customHeight="1">
      <c r="A2" s="220" t="s">
        <v>260</v>
      </c>
      <c r="B2" s="219"/>
      <c r="C2" s="221"/>
      <c r="D2" s="221"/>
      <c r="E2" s="221"/>
      <c r="F2" s="218"/>
      <c r="G2" s="10"/>
      <c r="H2" s="10"/>
      <c r="I2" s="1" t="s">
        <v>95</v>
      </c>
    </row>
    <row r="3" spans="1:11" ht="19.5" customHeight="1">
      <c r="A3" s="217" t="s">
        <v>32</v>
      </c>
      <c r="B3" s="581" t="s">
        <v>45</v>
      </c>
      <c r="C3" s="581"/>
      <c r="D3" s="581"/>
      <c r="E3" s="581"/>
      <c r="F3" s="218"/>
      <c r="G3" s="10"/>
      <c r="H3" s="10"/>
      <c r="I3" s="10"/>
    </row>
    <row r="4" spans="1:11" ht="19.5" customHeight="1">
      <c r="A4" s="217" t="s">
        <v>265</v>
      </c>
      <c r="B4" s="581" t="s">
        <v>116</v>
      </c>
      <c r="C4" s="581"/>
      <c r="D4" s="581"/>
      <c r="E4" s="581"/>
      <c r="F4" s="581"/>
      <c r="G4" s="10"/>
      <c r="H4" s="10"/>
      <c r="I4" s="10"/>
    </row>
    <row r="5" spans="1:11" ht="3.75" customHeight="1">
      <c r="A5" s="17"/>
      <c r="B5" s="14"/>
      <c r="C5" s="54"/>
      <c r="D5" s="117"/>
      <c r="E5" s="118"/>
      <c r="F5" s="28"/>
      <c r="G5" s="12"/>
      <c r="H5" s="12"/>
      <c r="I5" s="12"/>
    </row>
    <row r="6" spans="1:11" ht="54" customHeight="1">
      <c r="A6" s="341" t="s">
        <v>46</v>
      </c>
      <c r="B6" s="341" t="s">
        <v>47</v>
      </c>
      <c r="C6" s="341" t="s">
        <v>48</v>
      </c>
      <c r="D6" s="341" t="s">
        <v>253</v>
      </c>
      <c r="E6" s="342" t="s">
        <v>140</v>
      </c>
      <c r="F6" s="343" t="s">
        <v>292</v>
      </c>
      <c r="G6" s="342" t="s">
        <v>50</v>
      </c>
      <c r="H6" s="342" t="s">
        <v>51</v>
      </c>
      <c r="I6" s="342" t="s">
        <v>141</v>
      </c>
      <c r="J6" s="323"/>
    </row>
    <row r="7" spans="1:11" ht="21" customHeight="1">
      <c r="A7" s="344" t="s">
        <v>7</v>
      </c>
      <c r="B7" s="344" t="s">
        <v>8</v>
      </c>
      <c r="C7" s="344" t="s">
        <v>9</v>
      </c>
      <c r="D7" s="344" t="s">
        <v>21</v>
      </c>
      <c r="E7" s="344" t="s">
        <v>52</v>
      </c>
      <c r="F7" s="345" t="s">
        <v>23</v>
      </c>
      <c r="G7" s="346" t="s">
        <v>202</v>
      </c>
      <c r="H7" s="346" t="s">
        <v>53</v>
      </c>
      <c r="I7" s="346" t="s">
        <v>142</v>
      </c>
      <c r="J7" s="323"/>
    </row>
    <row r="8" spans="1:11" ht="24.95" customHeight="1">
      <c r="A8" s="347">
        <v>1</v>
      </c>
      <c r="B8" s="348" t="s">
        <v>54</v>
      </c>
      <c r="C8" s="347" t="s">
        <v>55</v>
      </c>
      <c r="D8" s="347">
        <v>60</v>
      </c>
      <c r="E8" s="373">
        <v>8.32</v>
      </c>
      <c r="F8" s="349">
        <v>800000</v>
      </c>
      <c r="G8" s="374">
        <f>ROUND((F8/(D8*26)),2)</f>
        <v>512.82000000000005</v>
      </c>
      <c r="H8" s="375">
        <f>I8</f>
        <v>4267</v>
      </c>
      <c r="I8" s="352">
        <f t="shared" ref="I8:I16" si="0">ROUND(E8*G8,0)</f>
        <v>4267</v>
      </c>
      <c r="J8" s="323"/>
      <c r="K8" s="46"/>
    </row>
    <row r="9" spans="1:11" ht="24.95" customHeight="1">
      <c r="A9" s="353">
        <v>2</v>
      </c>
      <c r="B9" s="354" t="s">
        <v>138</v>
      </c>
      <c r="C9" s="347" t="s">
        <v>55</v>
      </c>
      <c r="D9" s="353">
        <v>60</v>
      </c>
      <c r="E9" s="373">
        <v>8.32</v>
      </c>
      <c r="F9" s="355">
        <v>300000</v>
      </c>
      <c r="G9" s="374">
        <f t="shared" ref="G9:G15" si="1">ROUND((F9/(D9*26)),2)</f>
        <v>192.31</v>
      </c>
      <c r="H9" s="375">
        <f t="shared" ref="H9:H16" si="2">I9</f>
        <v>1600</v>
      </c>
      <c r="I9" s="356">
        <f t="shared" si="0"/>
        <v>1600</v>
      </c>
      <c r="J9" s="323"/>
    </row>
    <row r="10" spans="1:11" ht="24.95" customHeight="1">
      <c r="A10" s="347">
        <v>3</v>
      </c>
      <c r="B10" s="354" t="s">
        <v>139</v>
      </c>
      <c r="C10" s="347" t="s">
        <v>55</v>
      </c>
      <c r="D10" s="353">
        <v>12</v>
      </c>
      <c r="E10" s="376">
        <v>1.44</v>
      </c>
      <c r="F10" s="355">
        <v>160000</v>
      </c>
      <c r="G10" s="374">
        <f t="shared" si="1"/>
        <v>512.82000000000005</v>
      </c>
      <c r="H10" s="375">
        <f t="shared" si="2"/>
        <v>738</v>
      </c>
      <c r="I10" s="357">
        <f t="shared" si="0"/>
        <v>738</v>
      </c>
      <c r="J10" s="323"/>
    </row>
    <row r="11" spans="1:11" ht="24.95" customHeight="1">
      <c r="A11" s="353">
        <v>4</v>
      </c>
      <c r="B11" s="354" t="s">
        <v>59</v>
      </c>
      <c r="C11" s="347" t="s">
        <v>55</v>
      </c>
      <c r="D11" s="353">
        <v>60</v>
      </c>
      <c r="E11" s="376">
        <v>2.08</v>
      </c>
      <c r="F11" s="355">
        <v>1400000</v>
      </c>
      <c r="G11" s="374">
        <f t="shared" si="1"/>
        <v>897.44</v>
      </c>
      <c r="H11" s="375">
        <f>I11</f>
        <v>1867</v>
      </c>
      <c r="I11" s="357">
        <f>ROUND(E11*G11,0)</f>
        <v>1867</v>
      </c>
      <c r="J11" s="323"/>
    </row>
    <row r="12" spans="1:11" ht="24.95" customHeight="1">
      <c r="A12" s="347">
        <v>5</v>
      </c>
      <c r="B12" s="354" t="s">
        <v>56</v>
      </c>
      <c r="C12" s="347" t="s">
        <v>55</v>
      </c>
      <c r="D12" s="353">
        <v>12</v>
      </c>
      <c r="E12" s="376">
        <v>4.16</v>
      </c>
      <c r="F12" s="355">
        <v>100000</v>
      </c>
      <c r="G12" s="374">
        <f t="shared" si="1"/>
        <v>320.51</v>
      </c>
      <c r="H12" s="375">
        <f>I12</f>
        <v>1333</v>
      </c>
      <c r="I12" s="357">
        <f>ROUND(E12*G12,0)</f>
        <v>1333</v>
      </c>
      <c r="J12" s="323"/>
    </row>
    <row r="13" spans="1:11" ht="24.95" customHeight="1">
      <c r="A13" s="353">
        <v>6</v>
      </c>
      <c r="B13" s="354" t="s">
        <v>352</v>
      </c>
      <c r="C13" s="347" t="s">
        <v>55</v>
      </c>
      <c r="D13" s="353">
        <v>24</v>
      </c>
      <c r="E13" s="376">
        <v>0.05</v>
      </c>
      <c r="F13" s="355">
        <v>129000</v>
      </c>
      <c r="G13" s="374">
        <f t="shared" si="1"/>
        <v>206.73</v>
      </c>
      <c r="H13" s="375"/>
      <c r="I13" s="357">
        <f>ROUND(E13*G13,0)</f>
        <v>10</v>
      </c>
      <c r="J13" s="323"/>
    </row>
    <row r="14" spans="1:11" ht="24.95" customHeight="1">
      <c r="A14" s="347">
        <v>7</v>
      </c>
      <c r="B14" s="354" t="s">
        <v>62</v>
      </c>
      <c r="C14" s="347" t="s">
        <v>55</v>
      </c>
      <c r="D14" s="353">
        <v>24</v>
      </c>
      <c r="E14" s="376">
        <v>8.32</v>
      </c>
      <c r="F14" s="355">
        <v>60000</v>
      </c>
      <c r="G14" s="374">
        <f t="shared" si="1"/>
        <v>96.15</v>
      </c>
      <c r="H14" s="375">
        <f t="shared" si="2"/>
        <v>800</v>
      </c>
      <c r="I14" s="356">
        <f t="shared" si="0"/>
        <v>800</v>
      </c>
      <c r="J14" s="323"/>
    </row>
    <row r="15" spans="1:11" ht="24.95" customHeight="1">
      <c r="A15" s="353">
        <v>8</v>
      </c>
      <c r="B15" s="354" t="s">
        <v>61</v>
      </c>
      <c r="C15" s="347" t="s">
        <v>55</v>
      </c>
      <c r="D15" s="353">
        <v>36</v>
      </c>
      <c r="E15" s="376">
        <v>1.39</v>
      </c>
      <c r="F15" s="355">
        <v>250000</v>
      </c>
      <c r="G15" s="374">
        <f t="shared" si="1"/>
        <v>267.08999999999997</v>
      </c>
      <c r="H15" s="375">
        <f t="shared" si="2"/>
        <v>371</v>
      </c>
      <c r="I15" s="356">
        <f t="shared" si="0"/>
        <v>371</v>
      </c>
      <c r="J15" s="323"/>
    </row>
    <row r="16" spans="1:11" ht="24.95" customHeight="1">
      <c r="A16" s="347">
        <v>9</v>
      </c>
      <c r="B16" s="354" t="s">
        <v>63</v>
      </c>
      <c r="C16" s="347" t="s">
        <v>55</v>
      </c>
      <c r="D16" s="353">
        <v>36</v>
      </c>
      <c r="E16" s="376">
        <v>1.39</v>
      </c>
      <c r="F16" s="355">
        <v>700000</v>
      </c>
      <c r="G16" s="374">
        <f>ROUND((F16/(D16*26)),2)</f>
        <v>747.86</v>
      </c>
      <c r="H16" s="375">
        <f t="shared" si="2"/>
        <v>1040</v>
      </c>
      <c r="I16" s="356">
        <f t="shared" si="0"/>
        <v>1040</v>
      </c>
      <c r="J16" s="323"/>
    </row>
    <row r="17" spans="1:10" ht="24.95" customHeight="1">
      <c r="A17" s="353">
        <v>10</v>
      </c>
      <c r="B17" s="358" t="s">
        <v>57</v>
      </c>
      <c r="C17" s="359" t="s">
        <v>64</v>
      </c>
      <c r="D17" s="359"/>
      <c r="E17" s="377">
        <v>5.27</v>
      </c>
      <c r="F17" s="360">
        <v>1864.44</v>
      </c>
      <c r="G17" s="374"/>
      <c r="H17" s="378">
        <f>I17</f>
        <v>9825.5987999999998</v>
      </c>
      <c r="I17" s="356">
        <f>F17*E17</f>
        <v>9825.5987999999998</v>
      </c>
      <c r="J17" s="323"/>
    </row>
    <row r="18" spans="1:10" ht="22.5" customHeight="1">
      <c r="A18" s="363"/>
      <c r="B18" s="568" t="s">
        <v>285</v>
      </c>
      <c r="C18" s="569"/>
      <c r="D18" s="569"/>
      <c r="E18" s="569"/>
      <c r="F18" s="569"/>
      <c r="G18" s="570"/>
      <c r="H18" s="364">
        <f>SUM(H8:H17)</f>
        <v>21841.5988</v>
      </c>
      <c r="I18" s="365">
        <f>SUM(I8:I17)</f>
        <v>21851.5988</v>
      </c>
      <c r="J18" s="323"/>
    </row>
    <row r="19" spans="1:10" ht="20.25" customHeight="1">
      <c r="A19" s="379"/>
      <c r="B19" s="571" t="s">
        <v>284</v>
      </c>
      <c r="C19" s="572"/>
      <c r="D19" s="572"/>
      <c r="E19" s="572"/>
      <c r="F19" s="572"/>
      <c r="G19" s="573"/>
      <c r="H19" s="379"/>
      <c r="I19" s="380">
        <f>I18*0.05</f>
        <v>1092.5799400000001</v>
      </c>
      <c r="J19" s="323"/>
    </row>
    <row r="20" spans="1:10" ht="21" customHeight="1">
      <c r="A20" s="379"/>
      <c r="B20" s="571" t="s">
        <v>65</v>
      </c>
      <c r="C20" s="572"/>
      <c r="D20" s="572"/>
      <c r="E20" s="572"/>
      <c r="F20" s="572"/>
      <c r="G20" s="573"/>
      <c r="H20" s="379"/>
      <c r="I20" s="368">
        <f>I18+I19</f>
        <v>22944.178739999999</v>
      </c>
      <c r="J20" s="391"/>
    </row>
    <row r="21" spans="1:10" ht="17.25" customHeight="1">
      <c r="A21" s="382"/>
      <c r="B21" s="383"/>
      <c r="C21" s="383"/>
      <c r="D21" s="383"/>
      <c r="E21" s="383"/>
      <c r="F21" s="383"/>
      <c r="G21" s="383"/>
      <c r="H21" s="382"/>
      <c r="I21" s="384"/>
      <c r="J21" s="323"/>
    </row>
    <row r="22" spans="1:10" ht="21.75" customHeight="1">
      <c r="A22" s="576" t="s">
        <v>151</v>
      </c>
      <c r="B22" s="576"/>
      <c r="C22" s="576"/>
      <c r="D22" s="576"/>
      <c r="E22" s="576"/>
      <c r="F22" s="576"/>
      <c r="G22" s="576"/>
      <c r="H22" s="576"/>
      <c r="I22" s="576"/>
      <c r="J22" s="323"/>
    </row>
    <row r="23" spans="1:10" ht="6" customHeight="1">
      <c r="A23" s="323"/>
      <c r="B23" s="323"/>
      <c r="C23" s="381"/>
      <c r="D23" s="381"/>
      <c r="E23" s="381"/>
      <c r="F23" s="324"/>
      <c r="G23" s="323"/>
      <c r="H23" s="323"/>
      <c r="I23" s="323"/>
      <c r="J23" s="323"/>
    </row>
    <row r="24" spans="1:10" ht="31.5">
      <c r="A24" s="414" t="s">
        <v>161</v>
      </c>
      <c r="B24" s="134" t="s">
        <v>144</v>
      </c>
      <c r="C24" s="127" t="s">
        <v>145</v>
      </c>
      <c r="D24" s="414" t="s">
        <v>146</v>
      </c>
      <c r="E24" s="323"/>
      <c r="F24" s="323"/>
      <c r="G24" s="323"/>
      <c r="H24" s="323"/>
      <c r="I24" s="323"/>
      <c r="J24" s="323"/>
    </row>
    <row r="25" spans="1:10" ht="30.75" customHeight="1">
      <c r="A25" s="589" t="s">
        <v>160</v>
      </c>
      <c r="B25" s="590"/>
      <c r="C25" s="256">
        <v>0.77</v>
      </c>
      <c r="D25" s="128">
        <f>ROUND((I$20*C25),0)</f>
        <v>17667</v>
      </c>
      <c r="E25" s="323"/>
      <c r="F25" s="323"/>
      <c r="G25" s="323"/>
      <c r="H25" s="323"/>
      <c r="I25" s="323"/>
      <c r="J25" s="323"/>
    </row>
    <row r="26" spans="1:10" ht="16.5">
      <c r="A26" s="135">
        <v>1</v>
      </c>
      <c r="B26" s="257" t="s">
        <v>157</v>
      </c>
      <c r="C26" s="122">
        <v>0.23</v>
      </c>
      <c r="D26" s="128">
        <f>ROUND((I$20*C26),0)</f>
        <v>5277</v>
      </c>
      <c r="E26" s="381"/>
      <c r="F26" s="324"/>
      <c r="G26" s="323"/>
      <c r="H26" s="323"/>
      <c r="I26" s="323"/>
      <c r="J26" s="323"/>
    </row>
    <row r="27" spans="1:10" ht="15.75">
      <c r="A27" s="135">
        <v>2</v>
      </c>
      <c r="B27" s="257" t="s">
        <v>158</v>
      </c>
      <c r="C27" s="122"/>
      <c r="D27" s="128">
        <f>ROUND((I$20*C27),0)</f>
        <v>0</v>
      </c>
    </row>
    <row r="28" spans="1:10" ht="31.5">
      <c r="A28" s="135" t="s">
        <v>32</v>
      </c>
      <c r="B28" s="415" t="s">
        <v>159</v>
      </c>
      <c r="C28" s="122">
        <v>0.23</v>
      </c>
      <c r="D28" s="128">
        <f>ROUND((I$20*C28),0)</f>
        <v>5277</v>
      </c>
    </row>
    <row r="29" spans="1:10" ht="31.5">
      <c r="A29" s="135" t="s">
        <v>33</v>
      </c>
      <c r="B29" s="258" t="s">
        <v>234</v>
      </c>
      <c r="C29" s="259">
        <v>0.31</v>
      </c>
      <c r="D29" s="128">
        <f>ROUND((I$20*C29),0)</f>
        <v>7113</v>
      </c>
    </row>
  </sheetData>
  <mergeCells count="8">
    <mergeCell ref="A22:I22"/>
    <mergeCell ref="A25:B25"/>
    <mergeCell ref="A1:I1"/>
    <mergeCell ref="B3:E3"/>
    <mergeCell ref="B4:F4"/>
    <mergeCell ref="B18:G18"/>
    <mergeCell ref="B19:G19"/>
    <mergeCell ref="B20:G20"/>
  </mergeCells>
  <printOptions horizontalCentered="1"/>
  <pageMargins left="0" right="0" top="0.5" bottom="0.25" header="0.3" footer="0.25"/>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Tinh-NhanCong (theo ngay)</vt:lpstr>
      <vt:lpstr>Lao_dong_KT</vt:lpstr>
      <vt:lpstr>Dung cu (2.1.1)</vt:lpstr>
      <vt:lpstr>Dung cu (2.1.2)</vt:lpstr>
      <vt:lpstr>Dung cu (2.1.3)</vt:lpstr>
      <vt:lpstr>Dung cu (2.1.4)</vt:lpstr>
      <vt:lpstr>Dung cu (2.1.5)</vt:lpstr>
      <vt:lpstr>Dung cu (2.1.6)</vt:lpstr>
      <vt:lpstr>Dung cu (2.1.7)</vt:lpstr>
      <vt:lpstr>Thiet bi (2.2.1)</vt:lpstr>
      <vt:lpstr>Thiet bi (2.2.2)</vt:lpstr>
      <vt:lpstr>Thiet bi (2.2.3)</vt:lpstr>
      <vt:lpstr>Thiet bi (2.2.4)</vt:lpstr>
      <vt:lpstr>Thiet bi (2.2.5)</vt:lpstr>
      <vt:lpstr>Thiet bi (2.2.6)</vt:lpstr>
      <vt:lpstr>Thiet bi (2.2.7)</vt:lpstr>
      <vt:lpstr>Vat lieu (2.3.1)</vt:lpstr>
      <vt:lpstr>Vat lieu (2.3.2)</vt:lpstr>
      <vt:lpstr>Vat lieu (2.3.3)</vt:lpstr>
      <vt:lpstr>Vat lieu (2.3.4)</vt:lpstr>
      <vt:lpstr>Vat lieu (2.3.5)</vt:lpstr>
      <vt:lpstr>Vat lieu (2.3.6)</vt:lpstr>
      <vt:lpstr>Vat lieu (2.3.7)</vt:lpstr>
      <vt:lpstr>Tong_hop</vt:lpstr>
      <vt:lpstr>Don_gia_lap_BCCĐMT</vt:lpstr>
      <vt:lpstr>Sheet1</vt:lpstr>
      <vt:lpstr>Lao_dong_KT!Print_Titles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Mekong Xanh</dc:creator>
  <cp:lastModifiedBy>admin</cp:lastModifiedBy>
  <cp:lastPrinted>2022-08-25T08:12:39Z</cp:lastPrinted>
  <dcterms:created xsi:type="dcterms:W3CDTF">2018-12-19T01:17:20Z</dcterms:created>
  <dcterms:modified xsi:type="dcterms:W3CDTF">2022-12-08T07:20:04Z</dcterms:modified>
</cp:coreProperties>
</file>